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<sst xmlns="http://schemas.openxmlformats.org/spreadsheetml/2006/main" count="532" uniqueCount="131">
  <si>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</si>
  <si>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</si>
  <si>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</si>
  <si>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</si>
  <si>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</si>
  <si>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</si>
  <si>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</si>
  <si>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</si>
  <si>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</si>
  <si>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</si>
  <si>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</si>
  <si>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</si>
  <si>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</si>
  <si>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</si>
  <si>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</si>
  <si>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</si>
  <si>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</si>
  <si>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</si>
  <si>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</si>
  <si>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</si>
  <si>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Чай с сахаром</t>
  </si>
  <si>
    <t>Хлеб пшеничный</t>
  </si>
  <si>
    <t>Обед</t>
  </si>
  <si>
    <t>Суп картофельный с бобовыми</t>
  </si>
  <si>
    <t>Завтрак</t>
  </si>
  <si>
    <t xml:space="preserve">Завтрак </t>
  </si>
  <si>
    <t>Итого</t>
  </si>
  <si>
    <t>Всего</t>
  </si>
  <si>
    <t xml:space="preserve">                   12-ти дневное меню для обеспечения бесплатным двухразовым питанием обучающихся с ограниченными возможностями здоровья,  детей-инвалидов возрастной группы 7-11 лет МОУ г.Волгограда ( горячие завтраки и обеды)</t>
  </si>
  <si>
    <t>Средний суточный рацион</t>
  </si>
  <si>
    <t>Бобовые отварные (горох)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</si>
  <si>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</si>
  <si>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</si>
  <si>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</si>
  <si>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</si>
  <si>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</si>
  <si>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</si>
  <si>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</si>
  <si>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</si>
  <si>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</si>
  <si>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</si>
  <si>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</si>
  <si>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</si>
  <si>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т.т.к</t>
  </si>
  <si>
    <t>Суп из овощей со сметаной</t>
  </si>
  <si>
    <t>Щи из свежей капусты с картофелем со сметаной</t>
  </si>
  <si>
    <t>Суп картофельный с макароными изделиями со сметаной</t>
  </si>
  <si>
    <t>Рагу овощное с мясом</t>
  </si>
  <si>
    <t>Борщ с капустой картофелем со сметаной</t>
  </si>
  <si>
    <t>Чай с сахаром и лимоном</t>
  </si>
  <si>
    <t>Всего за 10 дней</t>
  </si>
  <si>
    <t>школах под редакцией В.Т.Лапшиной 2004 Сборник рецептур В.А.Тутельяна 2011</t>
  </si>
  <si>
    <t>125/25</t>
  </si>
  <si>
    <t>Картофель отварной с маслом</t>
  </si>
  <si>
    <t xml:space="preserve">Голубцы ленивые из птицы  с соусом </t>
  </si>
  <si>
    <r>
      <t>В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</si>
  <si>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>Напиток лимонный</t>
  </si>
  <si>
    <t>Нарезка овощная (огурец соленый)</t>
  </si>
  <si>
    <t xml:space="preserve">Макароны отварные с маслом                       </t>
  </si>
  <si>
    <t>Рассольник  "Ленинградский" (перловка) со сметаной</t>
  </si>
  <si>
    <t>Котлета  рыбная "Любительская"</t>
  </si>
  <si>
    <t>Рассольник "Ленинградский" (перловка) со сметаной</t>
  </si>
  <si>
    <t>Печень по-строгановски</t>
  </si>
  <si>
    <t>Каша манная жидкая молочная с сахаром</t>
  </si>
  <si>
    <t>Фрукт (яблоко)</t>
  </si>
  <si>
    <t xml:space="preserve">                Полдник</t>
  </si>
  <si>
    <t xml:space="preserve">Чай с сахаром </t>
  </si>
  <si>
    <t>Суп молочный с макаронными изделиями</t>
  </si>
  <si>
    <t>Каша рисовая молочная с сахаром</t>
  </si>
  <si>
    <t>Каша гречневая молочная с сахаром</t>
  </si>
  <si>
    <t>150</t>
  </si>
  <si>
    <t xml:space="preserve">Чай сахаром </t>
  </si>
  <si>
    <t xml:space="preserve">Печенье </t>
  </si>
  <si>
    <t>150/10</t>
  </si>
  <si>
    <t>50/30</t>
  </si>
  <si>
    <t>60/20</t>
  </si>
  <si>
    <t>100</t>
  </si>
  <si>
    <t>80/20</t>
  </si>
  <si>
    <r>
      <rPr>
        <b/>
        <sz val="11"/>
        <rFont val="Arial"/>
        <family val="2"/>
      </rPr>
      <t>2-ой Завтрак</t>
    </r>
    <r>
      <rPr>
        <sz val="11"/>
        <rFont val="Arial"/>
        <family val="2"/>
      </rPr>
      <t xml:space="preserve"> </t>
    </r>
  </si>
  <si>
    <t>сыр порция</t>
  </si>
  <si>
    <t>Сок фруктовый яблочный</t>
  </si>
  <si>
    <t>Нарезка овощная (помидор свежий)</t>
  </si>
  <si>
    <t>Пирожок сяблоки</t>
  </si>
  <si>
    <t>Каша молочная из овсяных хлопьях "Геркулес"жидкая</t>
  </si>
  <si>
    <t>масло сливочное</t>
  </si>
  <si>
    <t>Каша рисовая молочная жидкая</t>
  </si>
  <si>
    <t>Нарезка овощная (огурец свежий)</t>
  </si>
  <si>
    <t>Тефтели из кур "Ежики домашние"</t>
  </si>
  <si>
    <t>Консервы закусочные (икра кабачковая)</t>
  </si>
  <si>
    <t>Запеканка рисовая створогом и молоком сгущенным</t>
  </si>
  <si>
    <t>80/10</t>
  </si>
  <si>
    <t>580</t>
  </si>
  <si>
    <t>340</t>
  </si>
  <si>
    <t>Булочка "Веснушка"</t>
  </si>
  <si>
    <t>50</t>
  </si>
  <si>
    <t>530</t>
  </si>
  <si>
    <t>365</t>
  </si>
  <si>
    <t>550</t>
  </si>
  <si>
    <t>Запеканка манная с изюмом и сгущенным молоком</t>
  </si>
  <si>
    <t>Каша манная с сахаром молочная жидкая</t>
  </si>
  <si>
    <t xml:space="preserve">Кофейный напиток на молоке </t>
  </si>
  <si>
    <t xml:space="preserve">2-ой Завтрак </t>
  </si>
  <si>
    <t xml:space="preserve">Котлеты рубленные из курицей </t>
  </si>
  <si>
    <t>Макаронные изделия с овощами</t>
  </si>
  <si>
    <t>Батон</t>
  </si>
  <si>
    <t>Запеканка картофельная с мясом  и красным соусом</t>
  </si>
  <si>
    <t>125/30</t>
  </si>
  <si>
    <t>Запеканка картофельная с печенью и красным соусом</t>
  </si>
  <si>
    <t>Свекла отварная с растительным маслом</t>
  </si>
  <si>
    <t>Аскорбиновая кислота на 10 дней 2 грамма</t>
  </si>
  <si>
    <t>п.т.</t>
  </si>
  <si>
    <t>п.т</t>
  </si>
  <si>
    <t>Хлеб ржаной</t>
  </si>
  <si>
    <t xml:space="preserve">               Полдник</t>
  </si>
  <si>
    <t xml:space="preserve">    Полдник</t>
  </si>
  <si>
    <t xml:space="preserve">   Полдник</t>
  </si>
  <si>
    <t xml:space="preserve">              Полдник</t>
  </si>
  <si>
    <t>норма по санпин</t>
  </si>
  <si>
    <t>200</t>
  </si>
  <si>
    <t>Кисломолочный продукт</t>
  </si>
  <si>
    <t>Вафли</t>
  </si>
  <si>
    <t>Рис припущенный с томатом</t>
  </si>
  <si>
    <t>Пряник</t>
  </si>
  <si>
    <t>Компот и свежих плодов</t>
  </si>
  <si>
    <t>Рагу с птицей</t>
  </si>
  <si>
    <t>180/10</t>
  </si>
  <si>
    <t>130/5</t>
  </si>
  <si>
    <t xml:space="preserve">                   10-ти дневное меню  для воспитанников детских дошкольных учреждений  возрастной группы 3-7лет                                                        </t>
  </si>
  <si>
    <t>180</t>
  </si>
  <si>
    <t xml:space="preserve">                   10-ти дневное меню  для воспитанников детских дошкольных учреждений  возрастной группы 3-7 лет                                                        </t>
  </si>
  <si>
    <t xml:space="preserve">                   10-ти дневное меню  для воспитанников детских дошкольных учреждений  возрастной группы 3-7  лет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</si>
</sst>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0.00;[Red]0.00"/>
    <numFmt numFmtId="177" formatCode="0.000"/>
    <numFmt numFmtId="178" formatCode="0.0000"/>
    <numFmt numFmtId="179" formatCode="0.00000"/>
    <numFmt numFmtId="180" formatCode="0.0"/>
    <numFmt numFmtId="181" formatCode="#,##0.000;[Red]#,##0.000"/>
    <numFmt numFmtId="182" formatCode="#,##0.0000;[Red]#,##0.0000"/>
    <numFmt numFmtId="183" formatCode="#,##0.0;[Red]#,##0.0"/>
    <numFmt numFmtId="184" formatCode="0.000000"/>
    <numFmt numFmtId="185" formatCode="0.000;[Red]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1" applyNumberFormat="0" applyAlignment="0" applyProtection="0"/>
    <xf numFmtId="0" fontId="4" fillId="13" borderId="2" applyNumberFormat="0" applyAlignment="0" applyProtection="0"/>
    <xf numFmtId="0" fontId="36" fillId="45" borderId="3" applyNumberFormat="0" applyAlignment="0" applyProtection="0"/>
    <xf numFmtId="0" fontId="5" fillId="46" borderId="4" applyNumberFormat="0" applyAlignment="0" applyProtection="0"/>
    <xf numFmtId="0" fontId="37" fillId="45" borderId="1" applyNumberFormat="0" applyAlignment="0" applyProtection="0"/>
    <xf numFmtId="0" fontId="6" fillId="46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47" borderId="13" applyNumberFormat="0" applyAlignment="0" applyProtection="0"/>
    <xf numFmtId="0" fontId="11" fillId="48" borderId="1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4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19" fillId="55" borderId="0" xfId="100" applyFont="1" applyFill="1" applyBorder="1">
      <alignment/>
      <protection/>
    </xf>
    <xf numFmtId="0" fontId="19" fillId="0" borderId="0" xfId="100" applyFont="1" applyBorder="1">
      <alignment/>
      <protection/>
    </xf>
    <xf numFmtId="0" fontId="20" fillId="0" borderId="0" xfId="100" applyFont="1" applyBorder="1" applyAlignment="1">
      <alignment horizontal="center"/>
      <protection/>
    </xf>
    <xf numFmtId="49" fontId="19" fillId="55" borderId="0" xfId="100" applyNumberFormat="1" applyFont="1" applyFill="1" applyBorder="1" applyAlignment="1">
      <alignment horizontal="center"/>
      <protection/>
    </xf>
    <xf numFmtId="0" fontId="19" fillId="55" borderId="0" xfId="100" applyFont="1" applyFill="1" applyBorder="1" applyAlignment="1">
      <alignment horizontal="center"/>
      <protection/>
    </xf>
    <xf numFmtId="0" fontId="19" fillId="0" borderId="0" xfId="100" applyFont="1" applyFill="1" applyBorder="1" applyAlignment="1">
      <alignment horizontal="center"/>
      <protection/>
    </xf>
    <xf numFmtId="0" fontId="19" fillId="0" borderId="0" xfId="100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19" fillId="0" borderId="19" xfId="100" applyFont="1" applyBorder="1" applyAlignment="1">
      <alignment horizontal="center"/>
      <protection/>
    </xf>
    <xf numFmtId="0" fontId="19" fillId="0" borderId="20" xfId="100" applyFont="1" applyBorder="1" applyAlignment="1">
      <alignment horizontal="center"/>
      <protection/>
    </xf>
    <xf numFmtId="0" fontId="19" fillId="0" borderId="21" xfId="100" applyFont="1" applyBorder="1" applyAlignment="1">
      <alignment horizontal="center"/>
      <protection/>
    </xf>
    <xf numFmtId="0" fontId="19" fillId="0" borderId="22" xfId="100" applyFont="1" applyBorder="1" applyAlignment="1">
      <alignment horizontal="center"/>
      <protection/>
    </xf>
    <xf numFmtId="0" fontId="19" fillId="0" borderId="23" xfId="100" applyFont="1" applyBorder="1" applyAlignment="1">
      <alignment horizontal="center"/>
      <protection/>
    </xf>
    <xf numFmtId="0" fontId="19" fillId="0" borderId="24" xfId="100" applyFont="1" applyBorder="1" applyAlignment="1">
      <alignment horizontal="center"/>
      <protection/>
    </xf>
    <xf numFmtId="0" fontId="19" fillId="0" borderId="25" xfId="100" applyFont="1" applyBorder="1" applyAlignment="1">
      <alignment horizontal="center"/>
      <protection/>
    </xf>
    <xf numFmtId="0" fontId="19" fillId="0" borderId="25" xfId="100" applyFont="1" applyFill="1" applyBorder="1" applyAlignment="1">
      <alignment horizontal="center"/>
      <protection/>
    </xf>
    <xf numFmtId="0" fontId="19" fillId="0" borderId="26" xfId="100" applyFont="1" applyBorder="1" applyAlignment="1">
      <alignment horizontal="center"/>
      <protection/>
    </xf>
    <xf numFmtId="0" fontId="19" fillId="0" borderId="0" xfId="100" applyFont="1">
      <alignment/>
      <protection/>
    </xf>
    <xf numFmtId="0" fontId="24" fillId="0" borderId="0" xfId="100" applyFont="1" applyAlignment="1">
      <alignment horizontal="center"/>
      <protection/>
    </xf>
    <xf numFmtId="0" fontId="19" fillId="0" borderId="0" xfId="100" applyFont="1" applyAlignment="1">
      <alignment horizontal="center"/>
      <protection/>
    </xf>
    <xf numFmtId="0" fontId="24" fillId="0" borderId="0" xfId="100" applyFont="1">
      <alignment/>
      <protection/>
    </xf>
    <xf numFmtId="0" fontId="24" fillId="0" borderId="26" xfId="100" applyFont="1" applyBorder="1">
      <alignment/>
      <protection/>
    </xf>
    <xf numFmtId="0" fontId="19" fillId="0" borderId="26" xfId="0" applyFont="1" applyFill="1" applyBorder="1" applyAlignment="1">
      <alignment vertical="center" wrapText="1"/>
    </xf>
    <xf numFmtId="0" fontId="19" fillId="55" borderId="25" xfId="100" applyFont="1" applyFill="1" applyBorder="1">
      <alignment/>
      <protection/>
    </xf>
    <xf numFmtId="0" fontId="19" fillId="0" borderId="26" xfId="0" applyFont="1" applyFill="1" applyBorder="1" applyAlignment="1">
      <alignment horizontal="center" vertical="center" wrapText="1"/>
    </xf>
    <xf numFmtId="0" fontId="19" fillId="55" borderId="27" xfId="100" applyFont="1" applyFill="1" applyBorder="1" applyAlignment="1">
      <alignment horizontal="center"/>
      <protection/>
    </xf>
    <xf numFmtId="0" fontId="19" fillId="55" borderId="27" xfId="100" applyFont="1" applyFill="1" applyBorder="1">
      <alignment/>
      <protection/>
    </xf>
    <xf numFmtId="0" fontId="19" fillId="55" borderId="26" xfId="100" applyFont="1" applyFill="1" applyBorder="1">
      <alignment/>
      <protection/>
    </xf>
    <xf numFmtId="0" fontId="19" fillId="55" borderId="26" xfId="100" applyFont="1" applyFill="1" applyBorder="1" applyAlignment="1">
      <alignment horizontal="center"/>
      <protection/>
    </xf>
    <xf numFmtId="49" fontId="19" fillId="55" borderId="26" xfId="100" applyNumberFormat="1" applyFont="1" applyFill="1" applyBorder="1" applyAlignment="1">
      <alignment horizontal="center"/>
      <protection/>
    </xf>
    <xf numFmtId="0" fontId="19" fillId="0" borderId="26" xfId="100" applyFont="1" applyBorder="1">
      <alignment/>
      <protection/>
    </xf>
    <xf numFmtId="173" fontId="24" fillId="0" borderId="26" xfId="100" applyNumberFormat="1" applyFont="1" applyBorder="1" applyAlignment="1">
      <alignment horizontal="center"/>
      <protection/>
    </xf>
    <xf numFmtId="174" fontId="24" fillId="0" borderId="26" xfId="100" applyNumberFormat="1" applyFont="1" applyBorder="1" applyAlignment="1">
      <alignment horizontal="center"/>
      <protection/>
    </xf>
    <xf numFmtId="0" fontId="24" fillId="0" borderId="26" xfId="100" applyNumberFormat="1" applyFont="1" applyBorder="1" applyAlignment="1">
      <alignment horizontal="center"/>
      <protection/>
    </xf>
    <xf numFmtId="0" fontId="24" fillId="0" borderId="0" xfId="100" applyFont="1" applyBorder="1" applyAlignment="1">
      <alignment horizontal="center"/>
      <protection/>
    </xf>
    <xf numFmtId="0" fontId="19" fillId="0" borderId="27" xfId="100" applyFont="1" applyBorder="1" applyAlignment="1">
      <alignment horizontal="center"/>
      <protection/>
    </xf>
    <xf numFmtId="0" fontId="19" fillId="55" borderId="26" xfId="100" applyFont="1" applyFill="1" applyBorder="1" applyAlignment="1">
      <alignment horizontal="left" vertical="distributed"/>
      <protection/>
    </xf>
    <xf numFmtId="0" fontId="19" fillId="55" borderId="26" xfId="100" applyFont="1" applyFill="1" applyBorder="1" applyAlignment="1">
      <alignment horizontal="center" vertical="center"/>
      <protection/>
    </xf>
    <xf numFmtId="0" fontId="19" fillId="55" borderId="25" xfId="100" applyFont="1" applyFill="1" applyBorder="1" applyAlignment="1">
      <alignment horizontal="center"/>
      <protection/>
    </xf>
    <xf numFmtId="0" fontId="24" fillId="0" borderId="26" xfId="100" applyFont="1" applyBorder="1" applyAlignment="1">
      <alignment horizontal="center"/>
      <protection/>
    </xf>
    <xf numFmtId="0" fontId="19" fillId="0" borderId="28" xfId="100" applyFont="1" applyBorder="1" applyAlignment="1">
      <alignment horizontal="center"/>
      <protection/>
    </xf>
    <xf numFmtId="0" fontId="25" fillId="0" borderId="28" xfId="100" applyFont="1" applyBorder="1" applyAlignment="1">
      <alignment horizontal="center"/>
      <protection/>
    </xf>
    <xf numFmtId="0" fontId="25" fillId="0" borderId="0" xfId="100" applyFont="1" applyBorder="1" applyAlignment="1">
      <alignment horizontal="center"/>
      <protection/>
    </xf>
    <xf numFmtId="0" fontId="19" fillId="0" borderId="29" xfId="100" applyFont="1" applyBorder="1" applyAlignment="1">
      <alignment horizontal="center"/>
      <protection/>
    </xf>
    <xf numFmtId="0" fontId="19" fillId="0" borderId="30" xfId="100" applyFont="1" applyBorder="1" applyAlignment="1">
      <alignment horizontal="center"/>
      <protection/>
    </xf>
    <xf numFmtId="0" fontId="19" fillId="0" borderId="31" xfId="100" applyFont="1" applyBorder="1" applyAlignment="1">
      <alignment horizontal="center"/>
      <protection/>
    </xf>
    <xf numFmtId="0" fontId="19" fillId="0" borderId="32" xfId="100" applyFont="1" applyBorder="1" applyAlignment="1">
      <alignment horizontal="center"/>
      <protection/>
    </xf>
    <xf numFmtId="0" fontId="19" fillId="0" borderId="33" xfId="100" applyFont="1" applyBorder="1" applyAlignment="1">
      <alignment horizontal="center"/>
      <protection/>
    </xf>
    <xf numFmtId="0" fontId="19" fillId="0" borderId="34" xfId="100" applyFont="1" applyBorder="1" applyAlignment="1">
      <alignment horizontal="center"/>
      <protection/>
    </xf>
    <xf numFmtId="0" fontId="19" fillId="0" borderId="26" xfId="100" applyNumberFormat="1" applyFont="1" applyBorder="1" applyAlignment="1">
      <alignment horizontal="center"/>
      <protection/>
    </xf>
    <xf numFmtId="0" fontId="19" fillId="56" borderId="35" xfId="0" applyFont="1" applyFill="1" applyBorder="1" applyAlignment="1">
      <alignment horizontal="left" vertical="center" wrapText="1"/>
    </xf>
    <xf numFmtId="0" fontId="19" fillId="55" borderId="21" xfId="100" applyFont="1" applyFill="1" applyBorder="1" applyAlignment="1">
      <alignment horizontal="center"/>
      <protection/>
    </xf>
    <xf numFmtId="0" fontId="19" fillId="55" borderId="27" xfId="100" applyFont="1" applyFill="1" applyBorder="1" applyAlignment="1">
      <alignment horizontal="left" vertical="distributed"/>
      <protection/>
    </xf>
    <xf numFmtId="0" fontId="19" fillId="55" borderId="36" xfId="100" applyFont="1" applyFill="1" applyBorder="1" applyAlignment="1">
      <alignment horizontal="center"/>
      <protection/>
    </xf>
    <xf numFmtId="0" fontId="24" fillId="55" borderId="34" xfId="100" applyFont="1" applyFill="1" applyBorder="1">
      <alignment/>
      <protection/>
    </xf>
    <xf numFmtId="0" fontId="19" fillId="55" borderId="34" xfId="100" applyFont="1" applyFill="1" applyBorder="1" applyAlignment="1">
      <alignment horizontal="center"/>
      <protection/>
    </xf>
    <xf numFmtId="0" fontId="25" fillId="55" borderId="0" xfId="100" applyFont="1" applyFill="1" applyBorder="1" applyAlignment="1">
      <alignment horizontal="center"/>
      <protection/>
    </xf>
    <xf numFmtId="49" fontId="19" fillId="0" borderId="0" xfId="100" applyNumberFormat="1" applyFont="1" applyBorder="1" applyAlignment="1">
      <alignment horizontal="center"/>
      <protection/>
    </xf>
    <xf numFmtId="0" fontId="24" fillId="0" borderId="0" xfId="100" applyFont="1" applyBorder="1">
      <alignment/>
      <protection/>
    </xf>
    <xf numFmtId="0" fontId="19" fillId="55" borderId="27" xfId="100" applyFont="1" applyFill="1" applyBorder="1" applyAlignment="1">
      <alignment horizontal="center" vertical="center"/>
      <protection/>
    </xf>
    <xf numFmtId="0" fontId="24" fillId="55" borderId="26" xfId="100" applyFont="1" applyFill="1" applyBorder="1">
      <alignment/>
      <protection/>
    </xf>
    <xf numFmtId="0" fontId="24" fillId="55" borderId="26" xfId="100" applyFont="1" applyFill="1" applyBorder="1" applyAlignment="1">
      <alignment horizontal="center"/>
      <protection/>
    </xf>
    <xf numFmtId="0" fontId="19" fillId="55" borderId="34" xfId="100" applyFont="1" applyFill="1" applyBorder="1">
      <alignment/>
      <protection/>
    </xf>
    <xf numFmtId="49" fontId="19" fillId="55" borderId="34" xfId="100" applyNumberFormat="1" applyFont="1" applyFill="1" applyBorder="1" applyAlignment="1">
      <alignment horizontal="center"/>
      <protection/>
    </xf>
    <xf numFmtId="0" fontId="19" fillId="55" borderId="23" xfId="100" applyFont="1" applyFill="1" applyBorder="1" applyAlignment="1">
      <alignment horizontal="center"/>
      <protection/>
    </xf>
    <xf numFmtId="0" fontId="24" fillId="0" borderId="26" xfId="100" applyFont="1" applyBorder="1" applyAlignment="1">
      <alignment horizontal="left"/>
      <protection/>
    </xf>
    <xf numFmtId="0" fontId="19" fillId="0" borderId="37" xfId="100" applyFont="1" applyBorder="1" applyAlignment="1">
      <alignment horizontal="center"/>
      <protection/>
    </xf>
    <xf numFmtId="0" fontId="19" fillId="0" borderId="38" xfId="100" applyFont="1" applyBorder="1" applyAlignment="1">
      <alignment horizontal="center"/>
      <protection/>
    </xf>
    <xf numFmtId="0" fontId="19" fillId="0" borderId="39" xfId="100" applyFont="1" applyFill="1" applyBorder="1" applyAlignment="1">
      <alignment horizontal="center"/>
      <protection/>
    </xf>
    <xf numFmtId="0" fontId="19" fillId="0" borderId="40" xfId="100" applyFont="1" applyBorder="1" applyAlignment="1">
      <alignment horizontal="center"/>
      <protection/>
    </xf>
    <xf numFmtId="0" fontId="19" fillId="0" borderId="41" xfId="100" applyFont="1" applyBorder="1" applyAlignment="1">
      <alignment horizontal="center"/>
      <protection/>
    </xf>
    <xf numFmtId="0" fontId="19" fillId="0" borderId="42" xfId="100" applyFont="1" applyBorder="1" applyAlignment="1">
      <alignment horizontal="center"/>
      <protection/>
    </xf>
    <xf numFmtId="0" fontId="19" fillId="0" borderId="43" xfId="100" applyFont="1" applyBorder="1" applyAlignment="1">
      <alignment horizontal="center"/>
      <protection/>
    </xf>
    <xf numFmtId="0" fontId="19" fillId="0" borderId="43" xfId="100" applyFont="1" applyFill="1" applyBorder="1" applyAlignment="1">
      <alignment horizontal="center"/>
      <protection/>
    </xf>
    <xf numFmtId="0" fontId="19" fillId="0" borderId="44" xfId="100" applyFont="1" applyFill="1" applyBorder="1" applyAlignment="1">
      <alignment horizontal="center"/>
      <protection/>
    </xf>
    <xf numFmtId="0" fontId="19" fillId="55" borderId="45" xfId="100" applyFont="1" applyFill="1" applyBorder="1" applyAlignment="1">
      <alignment horizontal="center"/>
      <protection/>
    </xf>
    <xf numFmtId="0" fontId="19" fillId="0" borderId="46" xfId="100" applyFont="1" applyBorder="1" applyAlignment="1">
      <alignment horizontal="center"/>
      <protection/>
    </xf>
    <xf numFmtId="0" fontId="19" fillId="0" borderId="47" xfId="100" applyFont="1" applyBorder="1" applyAlignment="1">
      <alignment horizontal="center"/>
      <protection/>
    </xf>
    <xf numFmtId="0" fontId="19" fillId="0" borderId="48" xfId="100" applyFont="1" applyBorder="1" applyAlignment="1">
      <alignment horizontal="center"/>
      <protection/>
    </xf>
    <xf numFmtId="0" fontId="19" fillId="0" borderId="49" xfId="100" applyFont="1" applyBorder="1" applyAlignment="1">
      <alignment horizontal="center"/>
      <protection/>
    </xf>
    <xf numFmtId="0" fontId="19" fillId="0" borderId="50" xfId="100" applyFont="1" applyBorder="1" applyAlignment="1">
      <alignment horizontal="center"/>
      <protection/>
    </xf>
    <xf numFmtId="0" fontId="19" fillId="0" borderId="48" xfId="100" applyFont="1" applyFill="1" applyBorder="1" applyAlignment="1">
      <alignment horizontal="center"/>
      <protection/>
    </xf>
    <xf numFmtId="0" fontId="19" fillId="0" borderId="47" xfId="100" applyFont="1" applyFill="1" applyBorder="1" applyAlignment="1">
      <alignment horizontal="center"/>
      <protection/>
    </xf>
    <xf numFmtId="0" fontId="25" fillId="55" borderId="0" xfId="100" applyFont="1" applyFill="1" applyBorder="1">
      <alignment/>
      <protection/>
    </xf>
    <xf numFmtId="0" fontId="26" fillId="0" borderId="0" xfId="100" applyFont="1" applyFill="1" applyBorder="1" applyAlignment="1">
      <alignment horizontal="center"/>
      <protection/>
    </xf>
    <xf numFmtId="0" fontId="24" fillId="0" borderId="26" xfId="100" applyFont="1" applyBorder="1" applyAlignment="1">
      <alignment horizontal="right"/>
      <protection/>
    </xf>
    <xf numFmtId="0" fontId="25" fillId="0" borderId="0" xfId="100" applyFont="1" applyBorder="1">
      <alignment/>
      <protection/>
    </xf>
    <xf numFmtId="0" fontId="27" fillId="0" borderId="0" xfId="100" applyFont="1" applyBorder="1" applyAlignment="1">
      <alignment horizontal="center"/>
      <protection/>
    </xf>
    <xf numFmtId="0" fontId="20" fillId="55" borderId="0" xfId="100" applyFont="1" applyFill="1" applyBorder="1" applyAlignment="1">
      <alignment horizontal="center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distributed"/>
    </xf>
    <xf numFmtId="0" fontId="19" fillId="0" borderId="26" xfId="100" applyFont="1" applyFill="1" applyBorder="1" applyAlignment="1">
      <alignment wrapText="1"/>
      <protection/>
    </xf>
    <xf numFmtId="174" fontId="19" fillId="55" borderId="26" xfId="0" applyNumberFormat="1" applyFont="1" applyFill="1" applyBorder="1" applyAlignment="1">
      <alignment horizontal="center" vertical="center" wrapText="1"/>
    </xf>
    <xf numFmtId="173" fontId="19" fillId="55" borderId="26" xfId="0" applyNumberFormat="1" applyFont="1" applyFill="1" applyBorder="1" applyAlignment="1">
      <alignment horizontal="center" vertical="center" wrapText="1"/>
    </xf>
    <xf numFmtId="173" fontId="19" fillId="55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6" xfId="100" applyFont="1" applyFill="1" applyBorder="1" applyAlignment="1">
      <alignment horizontal="center"/>
      <protection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 vertical="distributed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distributed"/>
    </xf>
    <xf numFmtId="0" fontId="19" fillId="0" borderId="26" xfId="0" applyFont="1" applyBorder="1" applyAlignment="1">
      <alignment horizontal="center"/>
    </xf>
    <xf numFmtId="2" fontId="19" fillId="0" borderId="26" xfId="100" applyNumberFormat="1" applyFont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19" fillId="55" borderId="26" xfId="0" applyFont="1" applyFill="1" applyBorder="1" applyAlignment="1">
      <alignment horizontal="center" vertical="center" wrapText="1"/>
    </xf>
    <xf numFmtId="0" fontId="19" fillId="55" borderId="2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51" xfId="100" applyFont="1" applyBorder="1" applyAlignment="1">
      <alignment horizontal="center"/>
      <protection/>
    </xf>
    <xf numFmtId="0" fontId="19" fillId="0" borderId="52" xfId="100" applyFont="1" applyBorder="1" applyAlignment="1">
      <alignment horizontal="center"/>
      <protection/>
    </xf>
    <xf numFmtId="0" fontId="19" fillId="0" borderId="45" xfId="100" applyFont="1" applyBorder="1" applyAlignment="1">
      <alignment horizontal="center"/>
      <protection/>
    </xf>
    <xf numFmtId="0" fontId="19" fillId="0" borderId="26" xfId="100" applyFont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19" fillId="57" borderId="26" xfId="0" applyFont="1" applyFill="1" applyBorder="1" applyAlignment="1">
      <alignment/>
    </xf>
    <xf numFmtId="0" fontId="19" fillId="57" borderId="26" xfId="100" applyFont="1" applyFill="1" applyBorder="1" applyAlignment="1">
      <alignment horizontal="center"/>
      <protection/>
    </xf>
    <xf numFmtId="0" fontId="19" fillId="57" borderId="26" xfId="100" applyFont="1" applyFill="1" applyBorder="1">
      <alignment/>
      <protection/>
    </xf>
    <xf numFmtId="173" fontId="19" fillId="57" borderId="26" xfId="0" applyNumberFormat="1" applyFont="1" applyFill="1" applyBorder="1" applyAlignment="1">
      <alignment horizontal="center" vertical="center" wrapText="1"/>
    </xf>
    <xf numFmtId="173" fontId="19" fillId="57" borderId="26" xfId="0" applyNumberFormat="1" applyFont="1" applyFill="1" applyBorder="1" applyAlignment="1">
      <alignment horizontal="center" vertical="center"/>
    </xf>
    <xf numFmtId="0" fontId="19" fillId="0" borderId="26" xfId="100" applyFont="1" applyBorder="1" applyAlignment="1">
      <alignment horizontal="left" vertical="center"/>
      <protection/>
    </xf>
    <xf numFmtId="0" fontId="24" fillId="0" borderId="0" xfId="100" applyFont="1" applyAlignment="1">
      <alignment/>
      <protection/>
    </xf>
    <xf numFmtId="0" fontId="29" fillId="57" borderId="26" xfId="0" applyFont="1" applyFill="1" applyBorder="1" applyAlignment="1">
      <alignment horizontal="left" wrapText="1"/>
    </xf>
    <xf numFmtId="0" fontId="29" fillId="57" borderId="26" xfId="0" applyFont="1" applyFill="1" applyBorder="1" applyAlignment="1">
      <alignment horizontal="center" wrapText="1"/>
    </xf>
    <xf numFmtId="0" fontId="24" fillId="0" borderId="0" xfId="100" applyFont="1" applyAlignment="1">
      <alignment horizontal="left"/>
      <protection/>
    </xf>
    <xf numFmtId="0" fontId="19" fillId="57" borderId="26" xfId="100" applyFont="1" applyFill="1" applyBorder="1" applyAlignment="1">
      <alignment horizontal="center" vertical="center"/>
      <protection/>
    </xf>
    <xf numFmtId="173" fontId="24" fillId="55" borderId="26" xfId="100" applyNumberFormat="1" applyFont="1" applyFill="1" applyBorder="1" applyAlignment="1">
      <alignment horizontal="center"/>
      <protection/>
    </xf>
    <xf numFmtId="0" fontId="24" fillId="57" borderId="0" xfId="100" applyFont="1" applyFill="1" applyAlignment="1">
      <alignment horizontal="left"/>
      <protection/>
    </xf>
    <xf numFmtId="0" fontId="19" fillId="57" borderId="26" xfId="0" applyFont="1" applyFill="1" applyBorder="1" applyAlignment="1">
      <alignment horizontal="center" vertical="center" wrapText="1"/>
    </xf>
    <xf numFmtId="0" fontId="19" fillId="57" borderId="26" xfId="100" applyFont="1" applyFill="1" applyBorder="1" applyAlignment="1">
      <alignment horizontal="center" wrapText="1"/>
      <protection/>
    </xf>
    <xf numFmtId="0" fontId="19" fillId="57" borderId="0" xfId="100" applyFont="1" applyFill="1" applyBorder="1" applyAlignment="1">
      <alignment horizontal="center"/>
      <protection/>
    </xf>
    <xf numFmtId="0" fontId="19" fillId="57" borderId="27" xfId="100" applyFont="1" applyFill="1" applyBorder="1" applyAlignment="1">
      <alignment horizontal="center"/>
      <protection/>
    </xf>
    <xf numFmtId="2" fontId="19" fillId="55" borderId="26" xfId="100" applyNumberFormat="1" applyFont="1" applyFill="1" applyBorder="1" applyAlignment="1">
      <alignment horizontal="center"/>
      <protection/>
    </xf>
    <xf numFmtId="2" fontId="19" fillId="55" borderId="26" xfId="100" applyNumberFormat="1" applyFont="1" applyFill="1" applyBorder="1" applyAlignment="1">
      <alignment horizontal="center" vertical="distributed"/>
      <protection/>
    </xf>
    <xf numFmtId="2" fontId="19" fillId="0" borderId="26" xfId="100" applyNumberFormat="1" applyFont="1" applyBorder="1" applyAlignment="1">
      <alignment horizontal="center" vertical="distributed"/>
      <protection/>
    </xf>
    <xf numFmtId="2" fontId="19" fillId="0" borderId="26" xfId="100" applyNumberFormat="1" applyFont="1" applyBorder="1" applyAlignment="1">
      <alignment/>
      <protection/>
    </xf>
    <xf numFmtId="2" fontId="19" fillId="57" borderId="26" xfId="100" applyNumberFormat="1" applyFont="1" applyFill="1" applyBorder="1" applyAlignment="1">
      <alignment horizontal="center" vertical="center"/>
      <protection/>
    </xf>
    <xf numFmtId="2" fontId="24" fillId="0" borderId="26" xfId="100" applyNumberFormat="1" applyFont="1" applyBorder="1" applyAlignment="1">
      <alignment horizontal="center"/>
      <protection/>
    </xf>
    <xf numFmtId="2" fontId="24" fillId="0" borderId="26" xfId="100" applyNumberFormat="1" applyFont="1" applyBorder="1" applyAlignment="1">
      <alignment/>
      <protection/>
    </xf>
    <xf numFmtId="2" fontId="19" fillId="55" borderId="26" xfId="0" applyNumberFormat="1" applyFont="1" applyFill="1" applyBorder="1" applyAlignment="1">
      <alignment vertical="center" wrapText="1"/>
    </xf>
    <xf numFmtId="2" fontId="19" fillId="55" borderId="26" xfId="0" applyNumberFormat="1" applyFont="1" applyFill="1" applyBorder="1" applyAlignment="1">
      <alignment vertical="center"/>
    </xf>
    <xf numFmtId="173" fontId="19" fillId="55" borderId="27" xfId="100" applyNumberFormat="1" applyFont="1" applyFill="1" applyBorder="1" applyAlignment="1">
      <alignment horizontal="center"/>
      <protection/>
    </xf>
    <xf numFmtId="173" fontId="19" fillId="0" borderId="27" xfId="100" applyNumberFormat="1" applyFont="1" applyBorder="1" applyAlignment="1">
      <alignment horizontal="center"/>
      <protection/>
    </xf>
    <xf numFmtId="173" fontId="19" fillId="55" borderId="26" xfId="100" applyNumberFormat="1" applyFont="1" applyFill="1" applyBorder="1" applyAlignment="1">
      <alignment horizontal="center" vertical="distributed"/>
      <protection/>
    </xf>
    <xf numFmtId="173" fontId="19" fillId="0" borderId="26" xfId="100" applyNumberFormat="1" applyFont="1" applyBorder="1" applyAlignment="1">
      <alignment horizontal="center" vertical="distributed"/>
      <protection/>
    </xf>
    <xf numFmtId="173" fontId="19" fillId="55" borderId="26" xfId="100" applyNumberFormat="1" applyFont="1" applyFill="1" applyBorder="1" applyAlignment="1">
      <alignment horizontal="center"/>
      <protection/>
    </xf>
    <xf numFmtId="173" fontId="19" fillId="0" borderId="26" xfId="100" applyNumberFormat="1" applyFont="1" applyBorder="1" applyAlignment="1">
      <alignment horizontal="center"/>
      <protection/>
    </xf>
    <xf numFmtId="173" fontId="19" fillId="57" borderId="26" xfId="100" applyNumberFormat="1" applyFont="1" applyFill="1" applyBorder="1" applyAlignment="1">
      <alignment horizontal="center"/>
      <protection/>
    </xf>
    <xf numFmtId="173" fontId="19" fillId="55" borderId="36" xfId="100" applyNumberFormat="1" applyFont="1" applyFill="1" applyBorder="1" applyAlignment="1">
      <alignment horizontal="center"/>
      <protection/>
    </xf>
    <xf numFmtId="173" fontId="19" fillId="0" borderId="20" xfId="100" applyNumberFormat="1" applyFont="1" applyBorder="1" applyAlignment="1">
      <alignment horizontal="center"/>
      <protection/>
    </xf>
    <xf numFmtId="173" fontId="19" fillId="0" borderId="53" xfId="100" applyNumberFormat="1" applyFont="1" applyBorder="1" applyAlignment="1">
      <alignment horizontal="center"/>
      <protection/>
    </xf>
    <xf numFmtId="173" fontId="28" fillId="57" borderId="26" xfId="100" applyNumberFormat="1" applyFont="1" applyFill="1" applyBorder="1" applyAlignment="1">
      <alignment horizontal="center"/>
      <protection/>
    </xf>
    <xf numFmtId="176" fontId="19" fillId="55" borderId="26" xfId="0" applyNumberFormat="1" applyFont="1" applyFill="1" applyBorder="1" applyAlignment="1">
      <alignment horizontal="center" vertical="center" wrapText="1"/>
    </xf>
    <xf numFmtId="176" fontId="19" fillId="55" borderId="26" xfId="0" applyNumberFormat="1" applyFont="1" applyFill="1" applyBorder="1" applyAlignment="1">
      <alignment horizontal="center" vertical="center"/>
    </xf>
    <xf numFmtId="176" fontId="19" fillId="55" borderId="26" xfId="100" applyNumberFormat="1" applyFont="1" applyFill="1" applyBorder="1" applyAlignment="1">
      <alignment horizontal="center"/>
      <protection/>
    </xf>
    <xf numFmtId="176" fontId="19" fillId="0" borderId="26" xfId="100" applyNumberFormat="1" applyFont="1" applyBorder="1" applyAlignment="1">
      <alignment horizontal="center"/>
      <protection/>
    </xf>
    <xf numFmtId="176" fontId="24" fillId="0" borderId="26" xfId="100" applyNumberFormat="1" applyFont="1" applyBorder="1" applyAlignment="1">
      <alignment horizontal="center"/>
      <protection/>
    </xf>
    <xf numFmtId="176" fontId="24" fillId="55" borderId="26" xfId="100" applyNumberFormat="1" applyFont="1" applyFill="1" applyBorder="1" applyAlignment="1">
      <alignment horizontal="center"/>
      <protection/>
    </xf>
    <xf numFmtId="2" fontId="19" fillId="57" borderId="35" xfId="0" applyNumberFormat="1" applyFont="1" applyFill="1" applyBorder="1" applyAlignment="1">
      <alignment horizontal="center" vertical="center" wrapText="1"/>
    </xf>
    <xf numFmtId="2" fontId="19" fillId="0" borderId="20" xfId="100" applyNumberFormat="1" applyFont="1" applyBorder="1" applyAlignment="1">
      <alignment horizontal="center"/>
      <protection/>
    </xf>
    <xf numFmtId="2" fontId="19" fillId="0" borderId="53" xfId="100" applyNumberFormat="1" applyFont="1" applyBorder="1" applyAlignment="1">
      <alignment horizontal="center"/>
      <protection/>
    </xf>
    <xf numFmtId="2" fontId="19" fillId="55" borderId="21" xfId="100" applyNumberFormat="1" applyFont="1" applyFill="1" applyBorder="1" applyAlignment="1">
      <alignment horizontal="center"/>
      <protection/>
    </xf>
    <xf numFmtId="2" fontId="19" fillId="0" borderId="25" xfId="100" applyNumberFormat="1" applyFont="1" applyBorder="1" applyAlignment="1">
      <alignment horizontal="center"/>
      <protection/>
    </xf>
    <xf numFmtId="173" fontId="19" fillId="55" borderId="21" xfId="100" applyNumberFormat="1" applyFont="1" applyFill="1" applyBorder="1" applyAlignment="1">
      <alignment horizontal="center"/>
      <protection/>
    </xf>
    <xf numFmtId="173" fontId="19" fillId="0" borderId="25" xfId="100" applyNumberFormat="1" applyFont="1" applyBorder="1" applyAlignment="1">
      <alignment horizontal="center"/>
      <protection/>
    </xf>
    <xf numFmtId="2" fontId="19" fillId="0" borderId="21" xfId="100" applyNumberFormat="1" applyFont="1" applyBorder="1" applyAlignment="1">
      <alignment horizontal="center"/>
      <protection/>
    </xf>
    <xf numFmtId="2" fontId="19" fillId="55" borderId="26" xfId="0" applyNumberFormat="1" applyFont="1" applyFill="1" applyBorder="1" applyAlignment="1">
      <alignment horizontal="center" vertical="center" wrapText="1"/>
    </xf>
    <xf numFmtId="2" fontId="19" fillId="55" borderId="26" xfId="0" applyNumberFormat="1" applyFont="1" applyFill="1" applyBorder="1" applyAlignment="1">
      <alignment horizontal="center" vertical="center"/>
    </xf>
    <xf numFmtId="2" fontId="24" fillId="55" borderId="26" xfId="100" applyNumberFormat="1" applyFont="1" applyFill="1" applyBorder="1" applyAlignment="1">
      <alignment horizontal="center"/>
      <protection/>
    </xf>
    <xf numFmtId="0" fontId="19" fillId="57" borderId="26" xfId="0" applyFont="1" applyFill="1" applyBorder="1" applyAlignment="1">
      <alignment horizontal="center"/>
    </xf>
    <xf numFmtId="173" fontId="24" fillId="0" borderId="0" xfId="100" applyNumberFormat="1" applyFont="1" applyBorder="1" applyAlignment="1">
      <alignment horizontal="center"/>
      <protection/>
    </xf>
    <xf numFmtId="2" fontId="19" fillId="0" borderId="26" xfId="102" applyNumberFormat="1" applyFont="1" applyBorder="1" applyAlignment="1">
      <alignment horizontal="center" vertical="center" wrapText="1"/>
      <protection/>
    </xf>
    <xf numFmtId="2" fontId="24" fillId="55" borderId="34" xfId="100" applyNumberFormat="1" applyFont="1" applyFill="1" applyBorder="1" applyAlignment="1">
      <alignment horizontal="center"/>
      <protection/>
    </xf>
    <xf numFmtId="173" fontId="19" fillId="0" borderId="26" xfId="0" applyNumberFormat="1" applyFont="1" applyFill="1" applyBorder="1" applyAlignment="1">
      <alignment vertical="center" wrapText="1"/>
    </xf>
    <xf numFmtId="173" fontId="19" fillId="0" borderId="26" xfId="100" applyNumberFormat="1" applyFont="1" applyBorder="1">
      <alignment/>
      <protection/>
    </xf>
    <xf numFmtId="173" fontId="19" fillId="55" borderId="27" xfId="100" applyNumberFormat="1" applyFont="1" applyFill="1" applyBorder="1">
      <alignment/>
      <protection/>
    </xf>
    <xf numFmtId="173" fontId="19" fillId="0" borderId="0" xfId="100" applyNumberFormat="1" applyFont="1" applyBorder="1" applyAlignment="1">
      <alignment horizontal="center"/>
      <protection/>
    </xf>
    <xf numFmtId="173" fontId="19" fillId="0" borderId="0" xfId="100" applyNumberFormat="1" applyFont="1" applyBorder="1">
      <alignment/>
      <protection/>
    </xf>
    <xf numFmtId="173" fontId="19" fillId="57" borderId="26" xfId="100" applyNumberFormat="1" applyFont="1" applyFill="1" applyBorder="1">
      <alignment/>
      <protection/>
    </xf>
    <xf numFmtId="173" fontId="24" fillId="0" borderId="26" xfId="100" applyNumberFormat="1" applyFont="1" applyBorder="1">
      <alignment/>
      <protection/>
    </xf>
    <xf numFmtId="0" fontId="24" fillId="57" borderId="26" xfId="100" applyFont="1" applyFill="1" applyBorder="1" applyAlignment="1">
      <alignment horizontal="center"/>
      <protection/>
    </xf>
    <xf numFmtId="0" fontId="19" fillId="56" borderId="0" xfId="0" applyFont="1" applyFill="1" applyBorder="1" applyAlignment="1">
      <alignment horizontal="left" vertical="center" wrapText="1"/>
    </xf>
    <xf numFmtId="0" fontId="24" fillId="55" borderId="34" xfId="100" applyFont="1" applyFill="1" applyBorder="1" applyAlignment="1">
      <alignment horizontal="center"/>
      <protection/>
    </xf>
    <xf numFmtId="49" fontId="24" fillId="55" borderId="26" xfId="100" applyNumberFormat="1" applyFont="1" applyFill="1" applyBorder="1" applyAlignment="1">
      <alignment horizontal="center"/>
      <protection/>
    </xf>
    <xf numFmtId="0" fontId="19" fillId="55" borderId="27" xfId="100" applyNumberFormat="1" applyFont="1" applyFill="1" applyBorder="1" applyAlignment="1">
      <alignment horizontal="center"/>
      <protection/>
    </xf>
    <xf numFmtId="0" fontId="19" fillId="0" borderId="0" xfId="100" applyFont="1" applyFill="1" applyBorder="1" applyAlignment="1">
      <alignment horizontal="right"/>
      <protection/>
    </xf>
    <xf numFmtId="0" fontId="52" fillId="0" borderId="0" xfId="0" applyFont="1" applyAlignment="1">
      <alignment horizontal="right" vertical="center"/>
    </xf>
    <xf numFmtId="9" fontId="52" fillId="0" borderId="0" xfId="0" applyNumberFormat="1" applyFont="1" applyBorder="1" applyAlignment="1">
      <alignment/>
    </xf>
    <xf numFmtId="0" fontId="20" fillId="0" borderId="0" xfId="100" applyFont="1" applyBorder="1">
      <alignment/>
      <protection/>
    </xf>
    <xf numFmtId="0" fontId="30" fillId="0" borderId="26" xfId="0" applyFont="1" applyBorder="1" applyAlignment="1">
      <alignment horizontal="center" wrapText="1"/>
    </xf>
    <xf numFmtId="0" fontId="30" fillId="0" borderId="26" xfId="0" applyFont="1" applyBorder="1" applyAlignment="1">
      <alignment horizontal="right" wrapText="1"/>
    </xf>
    <xf numFmtId="0" fontId="30" fillId="0" borderId="26" xfId="0" applyFont="1" applyBorder="1" applyAlignment="1">
      <alignment wrapText="1"/>
    </xf>
    <xf numFmtId="0" fontId="31" fillId="0" borderId="26" xfId="0" applyFont="1" applyFill="1" applyBorder="1" applyAlignment="1">
      <alignment wrapText="1"/>
    </xf>
    <xf numFmtId="0" fontId="28" fillId="0" borderId="26" xfId="0" applyFont="1" applyBorder="1" applyAlignment="1">
      <alignment horizontal="center" wrapText="1"/>
    </xf>
    <xf numFmtId="0" fontId="30" fillId="55" borderId="26" xfId="100" applyFont="1" applyFill="1" applyBorder="1" applyAlignment="1">
      <alignment horizontal="center"/>
      <protection/>
    </xf>
    <xf numFmtId="0" fontId="19" fillId="55" borderId="26" xfId="100" applyNumberFormat="1" applyFont="1" applyFill="1" applyBorder="1" applyAlignment="1">
      <alignment horizontal="center"/>
      <protection/>
    </xf>
    <xf numFmtId="0" fontId="24" fillId="0" borderId="45" xfId="100" applyFont="1" applyBorder="1" applyAlignment="1">
      <alignment horizontal="center"/>
      <protection/>
    </xf>
    <xf numFmtId="0" fontId="19" fillId="0" borderId="54" xfId="100" applyFont="1" applyBorder="1" applyAlignment="1">
      <alignment horizontal="center"/>
      <protection/>
    </xf>
    <xf numFmtId="0" fontId="19" fillId="0" borderId="55" xfId="100" applyFont="1" applyBorder="1" applyAlignment="1">
      <alignment horizontal="center"/>
      <protection/>
    </xf>
    <xf numFmtId="0" fontId="24" fillId="0" borderId="0" xfId="100" applyFont="1" applyAlignment="1">
      <alignment horizontal="center"/>
      <protection/>
    </xf>
    <xf numFmtId="0" fontId="24" fillId="0" borderId="0" xfId="100" applyFont="1" applyBorder="1">
      <alignment/>
      <protection/>
    </xf>
    <xf numFmtId="0" fontId="24" fillId="0" borderId="0" xfId="100" applyFont="1" applyBorder="1" applyAlignment="1">
      <alignment horizontal="left" vertical="distributed"/>
      <protection/>
    </xf>
    <xf numFmtId="0" fontId="52" fillId="0" borderId="0" xfId="0" applyFont="1" applyAlignment="1">
      <alignment horizontal="center" vertical="distributed"/>
    </xf>
    <xf numFmtId="0" fontId="19" fillId="0" borderId="30" xfId="100" applyFont="1" applyBorder="1" applyAlignment="1">
      <alignment horizontal="center"/>
      <protection/>
    </xf>
    <xf numFmtId="0" fontId="19" fillId="0" borderId="31" xfId="100" applyFont="1" applyBorder="1" applyAlignment="1">
      <alignment horizontal="center"/>
      <protection/>
    </xf>
    <xf numFmtId="0" fontId="19" fillId="0" borderId="32" xfId="100" applyFont="1" applyBorder="1" applyAlignment="1">
      <alignment horizontal="center"/>
      <protection/>
    </xf>
    <xf numFmtId="0" fontId="19" fillId="0" borderId="45" xfId="100" applyFont="1" applyBorder="1" applyAlignment="1">
      <alignment horizontal="center"/>
      <protection/>
    </xf>
    <xf numFmtId="0" fontId="19" fillId="0" borderId="56" xfId="100" applyFont="1" applyBorder="1" applyAlignment="1">
      <alignment horizontal="center"/>
      <protection/>
    </xf>
    <xf numFmtId="0" fontId="24" fillId="0" borderId="0" xfId="100" applyFont="1" applyBorder="1" applyAlignment="1">
      <alignment vertical="distributed"/>
      <protection/>
    </xf>
    <xf numFmtId="0" fontId="24" fillId="57" borderId="0" xfId="100" applyFont="1" applyFill="1" applyBorder="1" applyAlignment="1">
      <alignment horizontal="left" vertical="distributed"/>
      <protection/>
    </xf>
    <xf numFmtId="0" fontId="19" fillId="0" borderId="21" xfId="100" applyFont="1" applyBorder="1" applyAlignment="1">
      <alignment horizontal="center"/>
      <protection/>
    </xf>
    <xf numFmtId="0" fontId="19" fillId="0" borderId="22" xfId="100" applyFont="1" applyBorder="1" applyAlignment="1">
      <alignment horizontal="center"/>
      <protection/>
    </xf>
    <xf numFmtId="0" fontId="19" fillId="0" borderId="57" xfId="100" applyFont="1" applyBorder="1" applyAlignment="1">
      <alignment horizontal="center"/>
      <protection/>
    </xf>
    <xf numFmtId="173" fontId="24" fillId="0" borderId="45" xfId="100" applyNumberFormat="1" applyFont="1" applyBorder="1" applyAlignment="1">
      <alignment horizontal="center"/>
      <protection/>
    </xf>
    <xf numFmtId="173" fontId="19" fillId="0" borderId="54" xfId="100" applyNumberFormat="1" applyFont="1" applyBorder="1" applyAlignment="1">
      <alignment horizontal="center"/>
      <protection/>
    </xf>
    <xf numFmtId="173" fontId="19" fillId="0" borderId="55" xfId="100" applyNumberFormat="1" applyFont="1" applyBorder="1" applyAlignment="1">
      <alignment horizontal="center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54" xfId="100" applyFont="1" applyBorder="1" applyAlignment="1">
      <alignment horizontal="center"/>
      <protection/>
    </xf>
    <xf numFmtId="0" fontId="24" fillId="0" borderId="55" xfId="100" applyFont="1" applyBorder="1" applyAlignment="1">
      <alignment horizontal="center"/>
      <protection/>
    </xf>
    <xf numFmtId="173" fontId="19" fillId="0" borderId="45" xfId="100" applyNumberFormat="1" applyFont="1" applyBorder="1" applyAlignment="1">
      <alignment horizontal="center"/>
      <protection/>
    </xf>
  </cellXfs>
  <cellStyles count="105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Обычный 3" xfId="101"/>
    <cellStyle name="Обычный_Меню ясли 10,5 час." xfId="102"/>
    <cellStyle name="Followed Hyperlink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4"/>
  <sheetViews>
    <sheetView showGridLines="0" tabSelected="1" zoomScale="95" zoomScaleNormal="95" zoomScaleSheetLayoutView="100" workbookViewId="0" topLeftCell="A1">
      <selection activeCell="G312" sqref="G312"/>
    </sheetView>
  </sheetViews>
  <sheetFormatPr defaultColWidth="9.140625" defaultRowHeight="15"/>
  <cols>
    <col min="1" max="1" width="10.8515625" style="104" customWidth="1"/>
    <col min="2" max="2" width="68.8515625" style="90" bestFit="1" customWidth="1"/>
    <col min="3" max="3" width="7.8515625" style="104" customWidth="1"/>
    <col min="4" max="4" width="7.421875" style="104" customWidth="1"/>
    <col min="5" max="5" width="9.140625" style="104" customWidth="1"/>
    <col min="6" max="6" width="11.00390625" style="104" customWidth="1"/>
    <col min="7" max="7" width="11.7109375" style="104" customWidth="1"/>
    <col min="8" max="8" width="8.00390625" style="104" customWidth="1"/>
    <col min="9" max="9" width="8.421875" style="104" customWidth="1"/>
    <col min="10" max="10" width="8.28125" style="104" customWidth="1"/>
    <col min="11" max="11" width="8.57421875" style="104" customWidth="1"/>
    <col min="12" max="12" width="7.7109375" style="104" customWidth="1"/>
    <col min="13" max="13" width="12.421875" style="104" bestFit="1" customWidth="1"/>
    <col min="14" max="14" width="7.7109375" style="104" customWidth="1"/>
    <col min="15" max="15" width="7.00390625" style="104" customWidth="1"/>
    <col min="16" max="16" width="9.140625" style="90" customWidth="1"/>
    <col min="17" max="16384" width="9.140625" style="90" customWidth="1"/>
  </cols>
  <sheetData>
    <row r="1" spans="1:15" ht="14.25">
      <c r="A1" s="214"/>
      <c r="B1" s="214"/>
      <c r="C1" s="214"/>
      <c r="D1" s="214"/>
      <c r="E1" s="214"/>
      <c r="F1" s="214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30" customHeight="1">
      <c r="A2" s="200" t="s">
        <v>127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4.25">
      <c r="A3" s="9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4.25">
      <c r="A4" s="10" t="s">
        <v>0</v>
      </c>
      <c r="B4" s="9" t="s">
        <v>1</v>
      </c>
      <c r="C4" s="10" t="s">
        <v>2</v>
      </c>
      <c r="D4" s="208" t="s">
        <v>3</v>
      </c>
      <c r="E4" s="209"/>
      <c r="F4" s="210"/>
      <c r="G4" s="10" t="s">
        <v>4</v>
      </c>
      <c r="H4" s="208" t="s">
        <v>5</v>
      </c>
      <c r="I4" s="209"/>
      <c r="J4" s="209"/>
      <c r="K4" s="210"/>
      <c r="L4" s="208" t="s">
        <v>6</v>
      </c>
      <c r="M4" s="209"/>
      <c r="N4" s="209"/>
      <c r="O4" s="210"/>
    </row>
    <row r="5" spans="1:15" ht="18.75">
      <c r="A5" s="13" t="s">
        <v>7</v>
      </c>
      <c r="B5" s="14"/>
      <c r="C5" s="13"/>
      <c r="D5" s="13" t="s">
        <v>8</v>
      </c>
      <c r="E5" s="13" t="s">
        <v>9</v>
      </c>
      <c r="F5" s="13" t="s">
        <v>10</v>
      </c>
      <c r="G5" s="13" t="s">
        <v>11</v>
      </c>
      <c r="H5" s="15" t="s">
        <v>55</v>
      </c>
      <c r="I5" s="15" t="s">
        <v>12</v>
      </c>
      <c r="J5" s="15" t="s">
        <v>13</v>
      </c>
      <c r="K5" s="15" t="s">
        <v>14</v>
      </c>
      <c r="L5" s="16" t="s">
        <v>15</v>
      </c>
      <c r="M5" s="16" t="s">
        <v>16</v>
      </c>
      <c r="N5" s="16" t="s">
        <v>17</v>
      </c>
      <c r="O5" s="16" t="s">
        <v>18</v>
      </c>
    </row>
    <row r="6" spans="1:15" ht="14.25">
      <c r="A6" s="15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5">
        <v>8</v>
      </c>
      <c r="I6" s="15">
        <v>9</v>
      </c>
      <c r="J6" s="15">
        <v>10</v>
      </c>
      <c r="K6" s="15">
        <v>11</v>
      </c>
      <c r="L6" s="16">
        <v>12</v>
      </c>
      <c r="M6" s="16">
        <v>13</v>
      </c>
      <c r="N6" s="16">
        <v>14</v>
      </c>
      <c r="O6" s="16">
        <v>15</v>
      </c>
    </row>
    <row r="7" spans="1:15" ht="15">
      <c r="A7" s="20"/>
      <c r="B7" s="18"/>
      <c r="C7" s="19"/>
      <c r="D7" s="19"/>
      <c r="E7" s="19"/>
      <c r="F7" s="19"/>
      <c r="G7" s="19"/>
      <c r="H7" s="20"/>
      <c r="I7" s="20"/>
      <c r="J7" s="20"/>
      <c r="K7" s="20"/>
      <c r="L7" s="20"/>
      <c r="M7" s="20"/>
      <c r="N7" s="20"/>
      <c r="O7" s="20"/>
    </row>
    <row r="8" spans="1:15" ht="15">
      <c r="A8" s="20"/>
      <c r="B8" s="21" t="s">
        <v>35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">
      <c r="A9" s="125" t="s">
        <v>19</v>
      </c>
      <c r="B9" s="125"/>
      <c r="C9" s="20"/>
      <c r="D9" s="197" t="s">
        <v>25</v>
      </c>
      <c r="E9" s="197"/>
      <c r="F9" s="19"/>
      <c r="G9" s="20"/>
      <c r="H9" s="20"/>
      <c r="I9" s="20"/>
      <c r="J9" s="20"/>
      <c r="K9" s="20"/>
      <c r="L9" s="20"/>
      <c r="M9" s="20"/>
      <c r="N9" s="20"/>
      <c r="O9" s="20"/>
    </row>
    <row r="10" spans="1:15" ht="27.75" customHeight="1">
      <c r="A10" s="207" t="s">
        <v>51</v>
      </c>
      <c r="B10" s="20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4.25">
      <c r="A11" s="17">
        <v>161</v>
      </c>
      <c r="B11" s="23" t="s">
        <v>63</v>
      </c>
      <c r="C11" s="126">
        <v>170</v>
      </c>
      <c r="D11" s="116">
        <v>4.09</v>
      </c>
      <c r="E11" s="116">
        <v>1.2</v>
      </c>
      <c r="F11" s="116">
        <v>28.31</v>
      </c>
      <c r="G11" s="116">
        <v>140.32</v>
      </c>
      <c r="H11" s="116">
        <v>0</v>
      </c>
      <c r="I11" s="116">
        <v>0.6</v>
      </c>
      <c r="J11" s="117">
        <f>0.3897*170/200</f>
        <v>0.33124499999999996</v>
      </c>
      <c r="K11" s="117">
        <f>0.1102*170/200</f>
        <v>0.09367</v>
      </c>
      <c r="L11" s="117">
        <f>0.2213*170/200</f>
        <v>0.18810500000000002</v>
      </c>
      <c r="M11" s="117">
        <f>0.01959*170/200</f>
        <v>0.0166515</v>
      </c>
      <c r="N11" s="117">
        <f>0.03*170/200</f>
        <v>0.0255</v>
      </c>
      <c r="O11" s="117">
        <f>27.842*170/200</f>
        <v>23.665699999999998</v>
      </c>
    </row>
    <row r="12" spans="1:15" ht="16.5" customHeight="1">
      <c r="A12" s="29">
        <v>685</v>
      </c>
      <c r="B12" s="92" t="s">
        <v>20</v>
      </c>
      <c r="C12" s="127">
        <v>180</v>
      </c>
      <c r="D12" s="143">
        <f>0.2*150/180</f>
        <v>0.16666666666666666</v>
      </c>
      <c r="E12" s="143">
        <v>0</v>
      </c>
      <c r="F12" s="143">
        <f>15*150/180</f>
        <v>12.5</v>
      </c>
      <c r="G12" s="143">
        <f>58*150/180</f>
        <v>48.333333333333336</v>
      </c>
      <c r="H12" s="144">
        <v>0</v>
      </c>
      <c r="I12" s="144">
        <f>2.2*150/180</f>
        <v>1.8333333333333333</v>
      </c>
      <c r="J12" s="144">
        <v>0</v>
      </c>
      <c r="K12" s="144">
        <v>0</v>
      </c>
      <c r="L12" s="144">
        <f>87*150/180</f>
        <v>72.5</v>
      </c>
      <c r="M12" s="144">
        <f>68*150/180</f>
        <v>56.666666666666664</v>
      </c>
      <c r="N12" s="144">
        <f>14*150/180</f>
        <v>11.666666666666666</v>
      </c>
      <c r="O12" s="144">
        <f>0.8*150/180</f>
        <v>0.6666666666666666</v>
      </c>
    </row>
    <row r="13" spans="1:15" ht="14.25">
      <c r="A13" s="26" t="s">
        <v>110</v>
      </c>
      <c r="B13" s="27" t="s">
        <v>104</v>
      </c>
      <c r="C13" s="114">
        <v>30</v>
      </c>
      <c r="D13" s="143">
        <v>2.25</v>
      </c>
      <c r="E13" s="143">
        <v>0.87</v>
      </c>
      <c r="F13" s="143">
        <v>15.27</v>
      </c>
      <c r="G13" s="143">
        <v>79.2</v>
      </c>
      <c r="H13" s="144">
        <f>0.05*20/30</f>
        <v>0.03333333333333333</v>
      </c>
      <c r="I13" s="144">
        <v>0</v>
      </c>
      <c r="J13" s="144">
        <v>0</v>
      </c>
      <c r="K13" s="144">
        <f>0.45*20/30</f>
        <v>0.3</v>
      </c>
      <c r="L13" s="144">
        <f>7.5*20/30</f>
        <v>5</v>
      </c>
      <c r="M13" s="144">
        <f>24.68*20/30</f>
        <v>16.453333333333333</v>
      </c>
      <c r="N13" s="144">
        <f>5.32*20/30</f>
        <v>3.546666666666667</v>
      </c>
      <c r="O13" s="144">
        <f>0.45*20/30</f>
        <v>0.3</v>
      </c>
    </row>
    <row r="14" spans="1:15" ht="14.25">
      <c r="A14" s="26">
        <v>7</v>
      </c>
      <c r="B14" s="27" t="s">
        <v>79</v>
      </c>
      <c r="C14" s="114">
        <v>7</v>
      </c>
      <c r="D14" s="143">
        <v>1.74</v>
      </c>
      <c r="E14" s="143">
        <v>2.21</v>
      </c>
      <c r="F14" s="143"/>
      <c r="G14" s="143">
        <v>27</v>
      </c>
      <c r="H14" s="144">
        <v>0.06</v>
      </c>
      <c r="I14" s="144"/>
      <c r="J14" s="144"/>
      <c r="K14" s="144">
        <v>0.045</v>
      </c>
      <c r="L14" s="144">
        <v>10.8</v>
      </c>
      <c r="M14" s="144">
        <v>44.28</v>
      </c>
      <c r="N14" s="144">
        <v>16.56</v>
      </c>
      <c r="O14" s="144">
        <v>0.83</v>
      </c>
    </row>
    <row r="15" spans="1:15" ht="15">
      <c r="A15" s="17"/>
      <c r="B15" s="31" t="s">
        <v>26</v>
      </c>
      <c r="C15" s="178">
        <f>C11+C12+C13+C14</f>
        <v>387</v>
      </c>
      <c r="D15" s="32">
        <f>D11+D12+D13+D14</f>
        <v>8.246666666666666</v>
      </c>
      <c r="E15" s="32">
        <f>E11+E12+E13+E14</f>
        <v>4.279999999999999</v>
      </c>
      <c r="F15" s="32">
        <f>F11+F12+F13+F14</f>
        <v>56.08</v>
      </c>
      <c r="G15" s="32">
        <f>G11+G12+G13+G14</f>
        <v>294.85333333333335</v>
      </c>
      <c r="H15" s="32">
        <f aca="true" t="shared" si="0" ref="H15:O15">SUM(H11:H13)</f>
        <v>0.03333333333333333</v>
      </c>
      <c r="I15" s="32">
        <f t="shared" si="0"/>
        <v>2.433333333333333</v>
      </c>
      <c r="J15" s="32">
        <f t="shared" si="0"/>
        <v>0.33124499999999996</v>
      </c>
      <c r="K15" s="32">
        <f t="shared" si="0"/>
        <v>0.39366999999999996</v>
      </c>
      <c r="L15" s="32">
        <f t="shared" si="0"/>
        <v>77.688105</v>
      </c>
      <c r="M15" s="32">
        <f t="shared" si="0"/>
        <v>73.1366515</v>
      </c>
      <c r="N15" s="32">
        <f t="shared" si="0"/>
        <v>15.238833333333332</v>
      </c>
      <c r="O15" s="32">
        <f t="shared" si="0"/>
        <v>24.632366666666666</v>
      </c>
    </row>
    <row r="16" spans="1:15" ht="15" customHeight="1">
      <c r="A16" s="204" t="s">
        <v>78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6"/>
    </row>
    <row r="17" spans="1:15" ht="14.25">
      <c r="A17" s="26">
        <v>389</v>
      </c>
      <c r="B17" s="27" t="s">
        <v>80</v>
      </c>
      <c r="C17" s="29">
        <v>150</v>
      </c>
      <c r="D17" s="169">
        <v>3.26</v>
      </c>
      <c r="E17" s="169"/>
      <c r="F17" s="169">
        <v>15.15</v>
      </c>
      <c r="G17" s="169">
        <v>63</v>
      </c>
      <c r="H17" s="169">
        <f>0.019*180/200</f>
        <v>0.0171</v>
      </c>
      <c r="I17" s="169">
        <f>3.8*180/200</f>
        <v>3.42</v>
      </c>
      <c r="J17" s="169">
        <f>0.16*180/200</f>
        <v>0.14400000000000002</v>
      </c>
      <c r="K17" s="169">
        <v>0</v>
      </c>
      <c r="L17" s="169">
        <f>13.3*180/200</f>
        <v>11.97</v>
      </c>
      <c r="M17" s="169">
        <v>0</v>
      </c>
      <c r="N17" s="169">
        <f>2.66*180/200</f>
        <v>2.394</v>
      </c>
      <c r="O17" s="169">
        <v>0</v>
      </c>
    </row>
    <row r="18" spans="1:15" ht="15">
      <c r="A18" s="17"/>
      <c r="B18" s="31" t="s">
        <v>26</v>
      </c>
      <c r="C18" s="40">
        <v>150</v>
      </c>
      <c r="D18" s="135">
        <f>SUM(D17)</f>
        <v>3.26</v>
      </c>
      <c r="E18" s="135">
        <f aca="true" t="shared" si="1" ref="E18:O18">SUM(E17)</f>
        <v>0</v>
      </c>
      <c r="F18" s="135">
        <f t="shared" si="1"/>
        <v>15.15</v>
      </c>
      <c r="G18" s="135">
        <f t="shared" si="1"/>
        <v>63</v>
      </c>
      <c r="H18" s="135">
        <f t="shared" si="1"/>
        <v>0.0171</v>
      </c>
      <c r="I18" s="135">
        <f t="shared" si="1"/>
        <v>3.42</v>
      </c>
      <c r="J18" s="135">
        <f t="shared" si="1"/>
        <v>0.14400000000000002</v>
      </c>
      <c r="K18" s="135">
        <f t="shared" si="1"/>
        <v>0</v>
      </c>
      <c r="L18" s="135">
        <f t="shared" si="1"/>
        <v>11.97</v>
      </c>
      <c r="M18" s="135">
        <f t="shared" si="1"/>
        <v>0</v>
      </c>
      <c r="N18" s="135">
        <f t="shared" si="1"/>
        <v>2.394</v>
      </c>
      <c r="O18" s="135">
        <f t="shared" si="1"/>
        <v>0</v>
      </c>
    </row>
    <row r="19" spans="1:15" ht="15">
      <c r="A19" s="7"/>
      <c r="B19" s="2"/>
      <c r="C19" s="128"/>
      <c r="D19" s="35" t="s">
        <v>22</v>
      </c>
      <c r="E19" s="35"/>
      <c r="F19" s="35"/>
      <c r="G19" s="7"/>
      <c r="H19" s="7"/>
      <c r="I19" s="7"/>
      <c r="J19" s="7"/>
      <c r="K19" s="7"/>
      <c r="L19" s="7"/>
      <c r="M19" s="7"/>
      <c r="N19" s="7"/>
      <c r="O19" s="7"/>
    </row>
    <row r="20" spans="1:15" ht="14.25">
      <c r="A20" s="29">
        <v>16</v>
      </c>
      <c r="B20" s="23" t="s">
        <v>81</v>
      </c>
      <c r="C20" s="126">
        <v>40</v>
      </c>
      <c r="D20" s="116">
        <v>0.32</v>
      </c>
      <c r="E20" s="116">
        <v>0.04</v>
      </c>
      <c r="F20" s="116">
        <v>1.12</v>
      </c>
      <c r="G20" s="116">
        <v>6</v>
      </c>
      <c r="H20" s="116">
        <f>46.6*40/60</f>
        <v>31.066666666666666</v>
      </c>
      <c r="I20" s="116">
        <f>0.1*40/60</f>
        <v>0.06666666666666667</v>
      </c>
      <c r="J20" s="117">
        <f>0.04*40/60</f>
        <v>0.02666666666666667</v>
      </c>
      <c r="K20" s="117">
        <v>0.34</v>
      </c>
      <c r="L20" s="117">
        <f>76.66*40/60</f>
        <v>51.10666666666666</v>
      </c>
      <c r="M20" s="117">
        <f>140*40/60</f>
        <v>93.33333333333333</v>
      </c>
      <c r="N20" s="117">
        <f>46.66*40/60</f>
        <v>31.106666666666666</v>
      </c>
      <c r="O20" s="117">
        <f>2*40/60</f>
        <v>1.3333333333333333</v>
      </c>
    </row>
    <row r="21" spans="1:16" ht="14.25">
      <c r="A21" s="26">
        <v>135</v>
      </c>
      <c r="B21" s="27" t="s">
        <v>44</v>
      </c>
      <c r="C21" s="129" t="s">
        <v>125</v>
      </c>
      <c r="D21" s="139">
        <f>3*150/200</f>
        <v>2.25</v>
      </c>
      <c r="E21" s="139">
        <f>4.5*150/200</f>
        <v>3.375</v>
      </c>
      <c r="F21" s="139">
        <f>20.4*150/200</f>
        <v>15.3</v>
      </c>
      <c r="G21" s="139">
        <f>137*150/200</f>
        <v>102.75</v>
      </c>
      <c r="H21" s="140">
        <f>0.09*150/200</f>
        <v>0.0675</v>
      </c>
      <c r="I21" s="140">
        <f>6.83*150/200</f>
        <v>5.1225</v>
      </c>
      <c r="J21" s="140">
        <f>0.01*150/200</f>
        <v>0.0075</v>
      </c>
      <c r="K21" s="140">
        <v>0</v>
      </c>
      <c r="L21" s="140">
        <f>44.4*150/200</f>
        <v>33.3</v>
      </c>
      <c r="M21" s="140">
        <f>87.6*150/200</f>
        <v>65.7</v>
      </c>
      <c r="N21" s="140">
        <f>28.4*150/200</f>
        <v>21.3</v>
      </c>
      <c r="O21" s="140">
        <f>1.55*150/200</f>
        <v>1.1625</v>
      </c>
      <c r="P21" s="183"/>
    </row>
    <row r="22" spans="1:15" ht="14.25">
      <c r="A22" s="102">
        <v>205</v>
      </c>
      <c r="B22" s="37" t="s">
        <v>102</v>
      </c>
      <c r="C22" s="123">
        <v>70</v>
      </c>
      <c r="D22" s="141">
        <v>12.1</v>
      </c>
      <c r="E22" s="141">
        <v>14.9</v>
      </c>
      <c r="F22" s="141">
        <v>7.7</v>
      </c>
      <c r="G22" s="141">
        <v>214.5</v>
      </c>
      <c r="H22" s="142">
        <f>0.06*60/80</f>
        <v>0.045</v>
      </c>
      <c r="I22" s="142">
        <f>0.41*60/80</f>
        <v>0.3075</v>
      </c>
      <c r="J22" s="142">
        <f>65.12*60/80</f>
        <v>48.84</v>
      </c>
      <c r="K22" s="142">
        <f>0.71*60/80</f>
        <v>0.5325</v>
      </c>
      <c r="L22" s="142">
        <f>63.56*60/80</f>
        <v>47.67</v>
      </c>
      <c r="M22" s="142">
        <f>62.82*60/80</f>
        <v>47.114999999999995</v>
      </c>
      <c r="N22" s="142">
        <f>12.93*60/80</f>
        <v>9.6975</v>
      </c>
      <c r="O22" s="142">
        <f>23.18*60/80</f>
        <v>17.384999999999998</v>
      </c>
    </row>
    <row r="23" spans="1:15" ht="14.25">
      <c r="A23" s="39">
        <v>203</v>
      </c>
      <c r="B23" s="37" t="s">
        <v>53</v>
      </c>
      <c r="C23" s="114" t="s">
        <v>126</v>
      </c>
      <c r="D23" s="143">
        <v>2.4</v>
      </c>
      <c r="E23" s="143">
        <v>6.12</v>
      </c>
      <c r="F23" s="143">
        <v>19.08</v>
      </c>
      <c r="G23" s="143">
        <v>145.2</v>
      </c>
      <c r="H23" s="144">
        <f>0.2*150/120</f>
        <v>0.25</v>
      </c>
      <c r="I23" s="144">
        <f>6.7*150/120</f>
        <v>8.375</v>
      </c>
      <c r="J23" s="144">
        <f>0.01*150/120</f>
        <v>0.0125</v>
      </c>
      <c r="K23" s="144">
        <f>0.2*150/120</f>
        <v>0.25</v>
      </c>
      <c r="L23" s="144">
        <f>48*150/120</f>
        <v>60</v>
      </c>
      <c r="M23" s="144">
        <f>100.8*150/120</f>
        <v>126</v>
      </c>
      <c r="N23" s="144">
        <f>36*150/120</f>
        <v>45</v>
      </c>
      <c r="O23" s="144">
        <f>1.2*150/120</f>
        <v>1.5</v>
      </c>
    </row>
    <row r="24" spans="1:15" ht="14.25">
      <c r="A24" s="29">
        <v>699</v>
      </c>
      <c r="B24" s="28" t="s">
        <v>56</v>
      </c>
      <c r="C24" s="29">
        <v>180</v>
      </c>
      <c r="D24" s="145">
        <v>0.075</v>
      </c>
      <c r="E24" s="145"/>
      <c r="F24" s="145">
        <v>16.88</v>
      </c>
      <c r="G24" s="145">
        <v>64.5</v>
      </c>
      <c r="H24" s="145">
        <f>0.002*150/180</f>
        <v>0.0016666666666666666</v>
      </c>
      <c r="I24" s="145">
        <f>0.058*150/180</f>
        <v>0.04833333333333334</v>
      </c>
      <c r="J24" s="145">
        <f>1.358*150/180</f>
        <v>1.1316666666666668</v>
      </c>
      <c r="K24" s="145">
        <f>0.058*150/180</f>
        <v>0.04833333333333334</v>
      </c>
      <c r="L24" s="145">
        <f>7.584*150/180</f>
        <v>6.319999999999999</v>
      </c>
      <c r="M24" s="145">
        <f>4.462*150/180</f>
        <v>3.7183333333333333</v>
      </c>
      <c r="N24" s="145">
        <f>1.746*150/180</f>
        <v>1.4549999999999998</v>
      </c>
      <c r="O24" s="145">
        <f>0.157*150/180</f>
        <v>0.13083333333333333</v>
      </c>
    </row>
    <row r="25" spans="1:15" ht="14.25">
      <c r="A25" s="26" t="s">
        <v>110</v>
      </c>
      <c r="B25" s="27" t="s">
        <v>112</v>
      </c>
      <c r="C25" s="29">
        <v>20</v>
      </c>
      <c r="D25" s="145">
        <v>1.34</v>
      </c>
      <c r="E25" s="145">
        <v>0.27</v>
      </c>
      <c r="F25" s="145">
        <v>8.07</v>
      </c>
      <c r="G25" s="145">
        <v>43.34</v>
      </c>
      <c r="H25" s="145">
        <v>0.05</v>
      </c>
      <c r="I25" s="145">
        <v>0</v>
      </c>
      <c r="J25" s="145">
        <v>0</v>
      </c>
      <c r="K25" s="145">
        <v>0.45</v>
      </c>
      <c r="L25" s="145">
        <v>7.5</v>
      </c>
      <c r="M25" s="145">
        <v>24.68</v>
      </c>
      <c r="N25" s="145">
        <v>5.32</v>
      </c>
      <c r="O25" s="145">
        <v>0.45</v>
      </c>
    </row>
    <row r="26" spans="1:16" ht="14.25">
      <c r="A26" s="26"/>
      <c r="B26" s="27" t="s">
        <v>21</v>
      </c>
      <c r="C26" s="114">
        <v>20</v>
      </c>
      <c r="D26" s="143">
        <f>2.02*20/30</f>
        <v>1.3466666666666667</v>
      </c>
      <c r="E26" s="143">
        <f>0.4*20/30</f>
        <v>0.26666666666666666</v>
      </c>
      <c r="F26" s="143">
        <f>12.1*20/30</f>
        <v>8.066666666666666</v>
      </c>
      <c r="G26" s="143">
        <f>65*20/30</f>
        <v>43.333333333333336</v>
      </c>
      <c r="H26" s="144">
        <f>0.05*20/30</f>
        <v>0.03333333333333333</v>
      </c>
      <c r="I26" s="144">
        <v>0</v>
      </c>
      <c r="J26" s="144">
        <v>0</v>
      </c>
      <c r="K26" s="144">
        <f>0.45*20/30</f>
        <v>0.3</v>
      </c>
      <c r="L26" s="144">
        <f>7.5*20/30</f>
        <v>5</v>
      </c>
      <c r="M26" s="144">
        <f>24.68*20/30</f>
        <v>16.453333333333333</v>
      </c>
      <c r="N26" s="144">
        <f>5.32*20/30</f>
        <v>3.546666666666667</v>
      </c>
      <c r="O26" s="144">
        <f>0.45*20/30</f>
        <v>0.3</v>
      </c>
      <c r="P26" s="98"/>
    </row>
    <row r="27" spans="1:15" ht="15">
      <c r="A27" s="17"/>
      <c r="B27" s="31" t="s">
        <v>26</v>
      </c>
      <c r="C27" s="40">
        <v>575</v>
      </c>
      <c r="D27" s="32">
        <f aca="true" t="shared" si="2" ref="D27:O27">SUM(D20:D26)</f>
        <v>19.831666666666667</v>
      </c>
      <c r="E27" s="32">
        <f t="shared" si="2"/>
        <v>24.971666666666668</v>
      </c>
      <c r="F27" s="32">
        <f t="shared" si="2"/>
        <v>76.21666666666667</v>
      </c>
      <c r="G27" s="32">
        <f>G20+G21+G22+G23+G24+G25</f>
        <v>576.2900000000001</v>
      </c>
      <c r="H27" s="32">
        <f t="shared" si="2"/>
        <v>31.514166666666668</v>
      </c>
      <c r="I27" s="32">
        <f t="shared" si="2"/>
        <v>13.92</v>
      </c>
      <c r="J27" s="32">
        <f t="shared" si="2"/>
        <v>50.01833333333334</v>
      </c>
      <c r="K27" s="32">
        <f t="shared" si="2"/>
        <v>1.9208333333333334</v>
      </c>
      <c r="L27" s="32">
        <f t="shared" si="2"/>
        <v>210.89666666666665</v>
      </c>
      <c r="M27" s="32">
        <f t="shared" si="2"/>
        <v>376.99999999999994</v>
      </c>
      <c r="N27" s="32">
        <f t="shared" si="2"/>
        <v>117.42583333333333</v>
      </c>
      <c r="O27" s="32">
        <f t="shared" si="2"/>
        <v>22.261666666666663</v>
      </c>
    </row>
    <row r="28" spans="1:15" ht="15" customHeight="1">
      <c r="A28" s="194" t="s">
        <v>113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6"/>
    </row>
    <row r="29" spans="1:15" ht="14.25">
      <c r="A29" s="17">
        <v>517</v>
      </c>
      <c r="B29" s="31" t="s">
        <v>103</v>
      </c>
      <c r="C29" s="17">
        <v>125</v>
      </c>
      <c r="D29" s="130">
        <v>4.8</v>
      </c>
      <c r="E29" s="130">
        <v>5.5</v>
      </c>
      <c r="F29" s="130">
        <v>26.4</v>
      </c>
      <c r="G29" s="130">
        <v>178.75</v>
      </c>
      <c r="H29" s="133">
        <v>0</v>
      </c>
      <c r="I29" s="133">
        <f>2.2*150/180</f>
        <v>1.8333333333333333</v>
      </c>
      <c r="J29" s="133">
        <v>0</v>
      </c>
      <c r="K29" s="133">
        <v>0</v>
      </c>
      <c r="L29" s="133">
        <f>87*150/180</f>
        <v>72.5</v>
      </c>
      <c r="M29" s="133">
        <f>68*150/180</f>
        <v>56.666666666666664</v>
      </c>
      <c r="N29" s="133">
        <f>14*150/180</f>
        <v>11.666666666666666</v>
      </c>
      <c r="O29" s="133">
        <f>0.8*150/180</f>
        <v>0.6666666666666666</v>
      </c>
    </row>
    <row r="30" spans="1:15" ht="14.25" hidden="1">
      <c r="A30" s="29">
        <v>738</v>
      </c>
      <c r="B30" s="28" t="s">
        <v>82</v>
      </c>
      <c r="C30" s="29">
        <v>75</v>
      </c>
      <c r="D30" s="137">
        <v>4.5</v>
      </c>
      <c r="E30" s="137">
        <v>3.7</v>
      </c>
      <c r="F30" s="137">
        <v>30.2</v>
      </c>
      <c r="G30" s="137">
        <v>172</v>
      </c>
      <c r="H30" s="137">
        <v>0</v>
      </c>
      <c r="I30" s="137">
        <f>1.9*30/40</f>
        <v>1.425</v>
      </c>
      <c r="J30" s="138">
        <v>0</v>
      </c>
      <c r="K30" s="138">
        <v>0</v>
      </c>
      <c r="L30" s="138">
        <f>17*30/40</f>
        <v>12.75</v>
      </c>
      <c r="M30" s="138">
        <f>9*30/40</f>
        <v>6.75</v>
      </c>
      <c r="N30" s="138">
        <f>7*30/40</f>
        <v>5.25</v>
      </c>
      <c r="O30" s="138">
        <f>0.09*30/40</f>
        <v>0.06749999999999999</v>
      </c>
    </row>
    <row r="31" spans="1:15" ht="14.25">
      <c r="A31" s="29">
        <v>685</v>
      </c>
      <c r="B31" s="92" t="s">
        <v>20</v>
      </c>
      <c r="C31" s="127">
        <v>180</v>
      </c>
      <c r="D31" s="143">
        <f>0.2*150/180</f>
        <v>0.16666666666666666</v>
      </c>
      <c r="E31" s="143">
        <v>0</v>
      </c>
      <c r="F31" s="143">
        <f>15*150/180</f>
        <v>12.5</v>
      </c>
      <c r="G31" s="143">
        <f>58*150/180</f>
        <v>48.333333333333336</v>
      </c>
      <c r="H31" s="144">
        <v>0</v>
      </c>
      <c r="I31" s="144">
        <f>2.2*150/180</f>
        <v>1.8333333333333333</v>
      </c>
      <c r="J31" s="144">
        <v>0</v>
      </c>
      <c r="K31" s="144">
        <v>0</v>
      </c>
      <c r="L31" s="144">
        <f>87*150/180</f>
        <v>72.5</v>
      </c>
      <c r="M31" s="144">
        <f>68*150/180</f>
        <v>56.666666666666664</v>
      </c>
      <c r="N31" s="144">
        <f>14*150/180</f>
        <v>11.666666666666666</v>
      </c>
      <c r="O31" s="144">
        <f>0.8*150/180</f>
        <v>0.6666666666666666</v>
      </c>
    </row>
    <row r="32" spans="1:15" ht="15">
      <c r="A32" s="17"/>
      <c r="B32" s="31" t="s">
        <v>26</v>
      </c>
      <c r="C32" s="17"/>
      <c r="D32" s="136">
        <f>D29+D31</f>
        <v>4.966666666666667</v>
      </c>
      <c r="E32" s="136">
        <f>E31+E29</f>
        <v>5.5</v>
      </c>
      <c r="F32" s="136">
        <f>F29+F31</f>
        <v>38.9</v>
      </c>
      <c r="G32" s="136">
        <f>G29+G31</f>
        <v>227.08333333333334</v>
      </c>
      <c r="H32" s="136">
        <f aca="true" t="shared" si="3" ref="H32:O32">SUM(H29:H31)</f>
        <v>0</v>
      </c>
      <c r="I32" s="136">
        <f t="shared" si="3"/>
        <v>5.091666666666667</v>
      </c>
      <c r="J32" s="136">
        <f t="shared" si="3"/>
        <v>0</v>
      </c>
      <c r="K32" s="136">
        <f t="shared" si="3"/>
        <v>0</v>
      </c>
      <c r="L32" s="136">
        <f t="shared" si="3"/>
        <v>157.75</v>
      </c>
      <c r="M32" s="136">
        <f t="shared" si="3"/>
        <v>120.08333333333333</v>
      </c>
      <c r="N32" s="136">
        <f t="shared" si="3"/>
        <v>28.58333333333333</v>
      </c>
      <c r="O32" s="136">
        <f t="shared" si="3"/>
        <v>1.4008333333333334</v>
      </c>
    </row>
    <row r="33" spans="1:15" ht="15">
      <c r="A33" s="17"/>
      <c r="B33" s="22" t="s">
        <v>27</v>
      </c>
      <c r="C33" s="40">
        <v>355</v>
      </c>
      <c r="D33" s="136">
        <f>D15+D27+D32+D18</f>
        <v>36.305</v>
      </c>
      <c r="E33" s="136">
        <f aca="true" t="shared" si="4" ref="E33:O33">E15+E27+E32+E18</f>
        <v>34.751666666666665</v>
      </c>
      <c r="F33" s="136">
        <f t="shared" si="4"/>
        <v>186.3466666666667</v>
      </c>
      <c r="G33" s="136">
        <f>G15+G18+G27+G32</f>
        <v>1161.2266666666667</v>
      </c>
      <c r="H33" s="136">
        <f t="shared" si="4"/>
        <v>31.564600000000002</v>
      </c>
      <c r="I33" s="136">
        <f t="shared" si="4"/>
        <v>24.865000000000002</v>
      </c>
      <c r="J33" s="136">
        <f t="shared" si="4"/>
        <v>50.49357833333334</v>
      </c>
      <c r="K33" s="136">
        <f t="shared" si="4"/>
        <v>2.3145033333333336</v>
      </c>
      <c r="L33" s="136">
        <f t="shared" si="4"/>
        <v>458.3047716666667</v>
      </c>
      <c r="M33" s="136">
        <f t="shared" si="4"/>
        <v>570.2199848333333</v>
      </c>
      <c r="N33" s="136">
        <f t="shared" si="4"/>
        <v>163.642</v>
      </c>
      <c r="O33" s="136">
        <f t="shared" si="4"/>
        <v>48.29486666666666</v>
      </c>
    </row>
    <row r="34" spans="1:15" ht="15">
      <c r="A34" s="41"/>
      <c r="B34" s="2" t="s">
        <v>109</v>
      </c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5">
      <c r="A35" s="7"/>
      <c r="B35" s="186"/>
      <c r="C35" s="7"/>
      <c r="D35" s="3"/>
      <c r="E35" s="3"/>
      <c r="F35" s="3"/>
      <c r="G35" s="3"/>
      <c r="H35" s="43"/>
      <c r="I35" s="43"/>
      <c r="J35" s="43"/>
      <c r="K35" s="43"/>
      <c r="L35" s="43"/>
      <c r="M35" s="43"/>
      <c r="N35" s="43"/>
      <c r="O35" s="43"/>
    </row>
    <row r="36" spans="1:15" ht="149.25" customHeight="1">
      <c r="A36" s="7"/>
      <c r="B36" s="2"/>
      <c r="C36" s="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32.25" customHeight="1">
      <c r="A37" s="7"/>
      <c r="B37" s="2"/>
      <c r="C37" s="7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5" customHeight="1">
      <c r="A38" s="7"/>
      <c r="B38" s="2"/>
      <c r="C38" s="7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32.25" customHeight="1">
      <c r="A39" s="200" t="s">
        <v>129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1:15" ht="15">
      <c r="A40" s="7"/>
      <c r="B40" s="2"/>
      <c r="C40" s="7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4.25">
      <c r="A41" s="108" t="s">
        <v>0</v>
      </c>
      <c r="B41" s="36" t="s">
        <v>1</v>
      </c>
      <c r="C41" s="44" t="s">
        <v>2</v>
      </c>
      <c r="D41" s="201" t="s">
        <v>3</v>
      </c>
      <c r="E41" s="202"/>
      <c r="F41" s="203"/>
      <c r="G41" s="44" t="s">
        <v>4</v>
      </c>
      <c r="H41" s="201" t="s">
        <v>5</v>
      </c>
      <c r="I41" s="202"/>
      <c r="J41" s="202"/>
      <c r="K41" s="203"/>
      <c r="L41" s="201" t="s">
        <v>6</v>
      </c>
      <c r="M41" s="202"/>
      <c r="N41" s="202"/>
      <c r="O41" s="203"/>
    </row>
    <row r="42" spans="1:15" ht="18.75">
      <c r="A42" s="48" t="s">
        <v>7</v>
      </c>
      <c r="B42" s="49"/>
      <c r="C42" s="13"/>
      <c r="D42" s="13" t="s">
        <v>8</v>
      </c>
      <c r="E42" s="13" t="s">
        <v>9</v>
      </c>
      <c r="F42" s="13" t="s">
        <v>10</v>
      </c>
      <c r="G42" s="13" t="s">
        <v>11</v>
      </c>
      <c r="H42" s="15" t="s">
        <v>55</v>
      </c>
      <c r="I42" s="15" t="s">
        <v>12</v>
      </c>
      <c r="J42" s="15" t="s">
        <v>13</v>
      </c>
      <c r="K42" s="15" t="s">
        <v>14</v>
      </c>
      <c r="L42" s="16" t="s">
        <v>15</v>
      </c>
      <c r="M42" s="16" t="s">
        <v>16</v>
      </c>
      <c r="N42" s="16" t="s">
        <v>17</v>
      </c>
      <c r="O42" s="16" t="s">
        <v>18</v>
      </c>
    </row>
    <row r="43" spans="1:15" ht="14.25">
      <c r="A43" s="15">
        <v>1</v>
      </c>
      <c r="B43" s="48">
        <v>2</v>
      </c>
      <c r="C43" s="12">
        <v>3</v>
      </c>
      <c r="D43" s="11">
        <v>4</v>
      </c>
      <c r="E43" s="11">
        <v>5</v>
      </c>
      <c r="F43" s="11">
        <v>6</v>
      </c>
      <c r="G43" s="11">
        <v>7</v>
      </c>
      <c r="H43" s="15">
        <v>8</v>
      </c>
      <c r="I43" s="15">
        <v>9</v>
      </c>
      <c r="J43" s="15">
        <v>10</v>
      </c>
      <c r="K43" s="15">
        <v>11</v>
      </c>
      <c r="L43" s="16">
        <v>12</v>
      </c>
      <c r="M43" s="16">
        <v>13</v>
      </c>
      <c r="N43" s="16">
        <v>14</v>
      </c>
      <c r="O43" s="16">
        <v>15</v>
      </c>
    </row>
    <row r="44" spans="1:15" ht="15">
      <c r="A44" s="20"/>
      <c r="B44" s="21" t="s">
        <v>36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27.75" customHeight="1">
      <c r="A45" s="125" t="s">
        <v>19</v>
      </c>
      <c r="B45" s="125"/>
      <c r="C45" s="20"/>
      <c r="D45" s="197" t="s">
        <v>24</v>
      </c>
      <c r="E45" s="197"/>
      <c r="F45" s="19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30" customHeight="1">
      <c r="A46" s="207" t="s">
        <v>51</v>
      </c>
      <c r="B46" s="20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6" s="112" customFormat="1" ht="14.25">
      <c r="A47" s="111">
        <v>161</v>
      </c>
      <c r="B47" s="118" t="s">
        <v>83</v>
      </c>
      <c r="C47" s="38">
        <v>170</v>
      </c>
      <c r="D47" s="134">
        <v>5.8</v>
      </c>
      <c r="E47" s="134">
        <v>7.2</v>
      </c>
      <c r="F47" s="134">
        <v>21.4</v>
      </c>
      <c r="G47" s="134">
        <v>190</v>
      </c>
      <c r="H47" s="134">
        <v>0.001</v>
      </c>
      <c r="I47" s="134">
        <f>0.27*170/200</f>
        <v>0.22950000000000004</v>
      </c>
      <c r="J47" s="134">
        <v>0.96</v>
      </c>
      <c r="K47" s="134">
        <v>0.15</v>
      </c>
      <c r="L47" s="134">
        <f>153.72*170/200</f>
        <v>130.662</v>
      </c>
      <c r="M47" s="134">
        <f>177.4*170/200</f>
        <v>150.79</v>
      </c>
      <c r="N47" s="134">
        <f>43.97*170/200</f>
        <v>37.3745</v>
      </c>
      <c r="O47" s="134">
        <f>0.98*170/200</f>
        <v>0.833</v>
      </c>
      <c r="P47" s="184"/>
    </row>
    <row r="48" spans="1:15" ht="14.25">
      <c r="A48" s="50">
        <v>685</v>
      </c>
      <c r="B48" s="51" t="s">
        <v>66</v>
      </c>
      <c r="C48" s="96">
        <v>180</v>
      </c>
      <c r="D48" s="130">
        <v>0.1</v>
      </c>
      <c r="E48" s="130"/>
      <c r="F48" s="130">
        <v>9.4</v>
      </c>
      <c r="G48" s="130">
        <v>39</v>
      </c>
      <c r="H48" s="103">
        <v>0</v>
      </c>
      <c r="I48" s="103">
        <f>2.2*150/180</f>
        <v>1.8333333333333333</v>
      </c>
      <c r="J48" s="103">
        <v>0</v>
      </c>
      <c r="K48" s="103">
        <v>0</v>
      </c>
      <c r="L48" s="103">
        <f>87*150/180</f>
        <v>72.5</v>
      </c>
      <c r="M48" s="103">
        <f>68*150/180</f>
        <v>56.666666666666664</v>
      </c>
      <c r="N48" s="103">
        <f>14*150/180</f>
        <v>11.666666666666666</v>
      </c>
      <c r="O48" s="103">
        <f>0.8*150/180</f>
        <v>0.6666666666666666</v>
      </c>
    </row>
    <row r="49" spans="1:15" ht="14.25">
      <c r="A49" s="50">
        <v>6</v>
      </c>
      <c r="B49" s="179" t="s">
        <v>84</v>
      </c>
      <c r="C49" s="96">
        <v>5</v>
      </c>
      <c r="D49" s="130">
        <v>0.04</v>
      </c>
      <c r="E49" s="130">
        <v>3.6</v>
      </c>
      <c r="F49" s="130">
        <v>0.06</v>
      </c>
      <c r="G49" s="130">
        <v>33</v>
      </c>
      <c r="H49" s="103"/>
      <c r="I49" s="103"/>
      <c r="J49" s="103"/>
      <c r="K49" s="103"/>
      <c r="L49" s="103"/>
      <c r="M49" s="103"/>
      <c r="N49" s="103"/>
      <c r="O49" s="103"/>
    </row>
    <row r="50" spans="1:15" ht="14.25">
      <c r="A50" s="26" t="s">
        <v>111</v>
      </c>
      <c r="B50" s="27" t="s">
        <v>104</v>
      </c>
      <c r="C50" s="114">
        <v>30</v>
      </c>
      <c r="D50" s="143">
        <v>2.25</v>
      </c>
      <c r="E50" s="143">
        <v>0.87</v>
      </c>
      <c r="F50" s="143">
        <v>15.27</v>
      </c>
      <c r="G50" s="143">
        <v>79.2</v>
      </c>
      <c r="H50" s="144">
        <f>0.05*20/30</f>
        <v>0.03333333333333333</v>
      </c>
      <c r="I50" s="144">
        <v>0</v>
      </c>
      <c r="J50" s="144">
        <v>0</v>
      </c>
      <c r="K50" s="144">
        <f>0.45*20/30</f>
        <v>0.3</v>
      </c>
      <c r="L50" s="144">
        <f>7.5*20/30</f>
        <v>5</v>
      </c>
      <c r="M50" s="144">
        <f>24.68*20/30</f>
        <v>16.453333333333333</v>
      </c>
      <c r="N50" s="144">
        <f>5.32*20/30</f>
        <v>3.546666666666667</v>
      </c>
      <c r="O50" s="144">
        <f>0.45*20/30</f>
        <v>0.3</v>
      </c>
    </row>
    <row r="51" spans="1:15" ht="15">
      <c r="A51" s="17"/>
      <c r="B51" s="31" t="s">
        <v>26</v>
      </c>
      <c r="C51" s="40">
        <v>355</v>
      </c>
      <c r="D51" s="135">
        <f aca="true" t="shared" si="5" ref="D51:O51">SUM(D47:D50)</f>
        <v>8.19</v>
      </c>
      <c r="E51" s="135">
        <f t="shared" si="5"/>
        <v>11.67</v>
      </c>
      <c r="F51" s="135">
        <f t="shared" si="5"/>
        <v>46.129999999999995</v>
      </c>
      <c r="G51" s="135">
        <f t="shared" si="5"/>
        <v>341.2</v>
      </c>
      <c r="H51" s="135">
        <f t="shared" si="5"/>
        <v>0.034333333333333334</v>
      </c>
      <c r="I51" s="135">
        <f t="shared" si="5"/>
        <v>2.0628333333333333</v>
      </c>
      <c r="J51" s="135">
        <f t="shared" si="5"/>
        <v>0.96</v>
      </c>
      <c r="K51" s="135">
        <f t="shared" si="5"/>
        <v>0.44999999999999996</v>
      </c>
      <c r="L51" s="135">
        <f t="shared" si="5"/>
        <v>208.162</v>
      </c>
      <c r="M51" s="135">
        <f t="shared" si="5"/>
        <v>223.90999999999997</v>
      </c>
      <c r="N51" s="135">
        <f t="shared" si="5"/>
        <v>52.58783333333333</v>
      </c>
      <c r="O51" s="135">
        <f t="shared" si="5"/>
        <v>1.7996666666666667</v>
      </c>
    </row>
    <row r="52" spans="1:15" ht="14.25" customHeight="1">
      <c r="A52" s="204" t="s">
        <v>78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6"/>
    </row>
    <row r="53" spans="1:15" ht="14.25">
      <c r="A53" s="26">
        <v>389</v>
      </c>
      <c r="B53" s="27" t="s">
        <v>80</v>
      </c>
      <c r="C53" s="29">
        <v>150</v>
      </c>
      <c r="D53" s="169">
        <v>3.26</v>
      </c>
      <c r="E53" s="169"/>
      <c r="F53" s="169">
        <v>15.15</v>
      </c>
      <c r="G53" s="169">
        <v>63</v>
      </c>
      <c r="H53" s="169">
        <f>0.019*180/200</f>
        <v>0.0171</v>
      </c>
      <c r="I53" s="169">
        <f>3.8*180/200</f>
        <v>3.42</v>
      </c>
      <c r="J53" s="169">
        <f>0.16*180/200</f>
        <v>0.14400000000000002</v>
      </c>
      <c r="K53" s="169">
        <v>0</v>
      </c>
      <c r="L53" s="169">
        <f>13.3*180/200</f>
        <v>11.97</v>
      </c>
      <c r="M53" s="169">
        <v>0</v>
      </c>
      <c r="N53" s="169">
        <f>2.66*180/200</f>
        <v>2.394</v>
      </c>
      <c r="O53" s="169">
        <v>0</v>
      </c>
    </row>
    <row r="54" spans="1:15" ht="15">
      <c r="A54" s="17"/>
      <c r="B54" s="31" t="s">
        <v>26</v>
      </c>
      <c r="C54" s="40">
        <v>150</v>
      </c>
      <c r="D54" s="135">
        <f>SUM(D53)</f>
        <v>3.26</v>
      </c>
      <c r="E54" s="135">
        <f aca="true" t="shared" si="6" ref="E54:O54">SUM(E53)</f>
        <v>0</v>
      </c>
      <c r="F54" s="135">
        <f t="shared" si="6"/>
        <v>15.15</v>
      </c>
      <c r="G54" s="135">
        <f t="shared" si="6"/>
        <v>63</v>
      </c>
      <c r="H54" s="135">
        <f t="shared" si="6"/>
        <v>0.0171</v>
      </c>
      <c r="I54" s="135">
        <f t="shared" si="6"/>
        <v>3.42</v>
      </c>
      <c r="J54" s="135">
        <f t="shared" si="6"/>
        <v>0.14400000000000002</v>
      </c>
      <c r="K54" s="135">
        <f t="shared" si="6"/>
        <v>0</v>
      </c>
      <c r="L54" s="135">
        <f t="shared" si="6"/>
        <v>11.97</v>
      </c>
      <c r="M54" s="135">
        <f t="shared" si="6"/>
        <v>0</v>
      </c>
      <c r="N54" s="135">
        <f t="shared" si="6"/>
        <v>2.394</v>
      </c>
      <c r="O54" s="135">
        <f t="shared" si="6"/>
        <v>0</v>
      </c>
    </row>
    <row r="55" spans="1:15" ht="15">
      <c r="A55" s="7"/>
      <c r="B55" s="2"/>
      <c r="C55" s="7"/>
      <c r="D55" s="35" t="s">
        <v>22</v>
      </c>
      <c r="E55" s="35"/>
      <c r="F55" s="35"/>
      <c r="G55" s="7"/>
      <c r="H55" s="7"/>
      <c r="I55" s="7"/>
      <c r="J55" s="7"/>
      <c r="K55" s="7"/>
      <c r="L55" s="7"/>
      <c r="M55" s="7"/>
      <c r="N55" s="7"/>
      <c r="O55" s="7"/>
    </row>
    <row r="56" spans="1:15" ht="14.25">
      <c r="A56" s="29">
        <v>70</v>
      </c>
      <c r="B56" s="23" t="s">
        <v>57</v>
      </c>
      <c r="C56" s="52">
        <v>50</v>
      </c>
      <c r="D56" s="116">
        <v>0.8</v>
      </c>
      <c r="E56" s="116">
        <v>0.1</v>
      </c>
      <c r="F56" s="116">
        <v>1.7</v>
      </c>
      <c r="G56" s="116">
        <v>13</v>
      </c>
      <c r="H56" s="116">
        <f>46.6*40/60</f>
        <v>31.066666666666666</v>
      </c>
      <c r="I56" s="116">
        <f>0.1*40/60</f>
        <v>0.06666666666666667</v>
      </c>
      <c r="J56" s="117">
        <f>0.04*40/60</f>
        <v>0.02666666666666667</v>
      </c>
      <c r="K56" s="117">
        <v>0.34</v>
      </c>
      <c r="L56" s="117">
        <f>76.66*40/60</f>
        <v>51.10666666666666</v>
      </c>
      <c r="M56" s="117">
        <f>140*40/60</f>
        <v>93.33333333333333</v>
      </c>
      <c r="N56" s="117">
        <f>46.66*40/60</f>
        <v>31.106666666666666</v>
      </c>
      <c r="O56" s="117">
        <f>2*40/60</f>
        <v>1.3333333333333333</v>
      </c>
    </row>
    <row r="57" spans="1:15" ht="14.25">
      <c r="A57" s="26">
        <v>124</v>
      </c>
      <c r="B57" s="53" t="s">
        <v>45</v>
      </c>
      <c r="C57" s="54" t="s">
        <v>73</v>
      </c>
      <c r="D57" s="146">
        <f>2.7*150/200</f>
        <v>2.025</v>
      </c>
      <c r="E57" s="146">
        <f>7.8*150/200</f>
        <v>5.85</v>
      </c>
      <c r="F57" s="146">
        <f>12.5*150/200</f>
        <v>9.375</v>
      </c>
      <c r="G57" s="146">
        <f>125*150/200</f>
        <v>93.75</v>
      </c>
      <c r="H57" s="147">
        <f>0.07*150/200</f>
        <v>0.05250000000000001</v>
      </c>
      <c r="I57" s="147">
        <f>14.41*150/200</f>
        <v>10.8075</v>
      </c>
      <c r="J57" s="147">
        <f>0.01*150/200</f>
        <v>0.0075</v>
      </c>
      <c r="K57" s="147">
        <v>0</v>
      </c>
      <c r="L57" s="147">
        <f>9.8*150/200</f>
        <v>7.35</v>
      </c>
      <c r="M57" s="147">
        <f>53*150/200</f>
        <v>39.75</v>
      </c>
      <c r="N57" s="147">
        <f>19.9*150/200</f>
        <v>14.925</v>
      </c>
      <c r="O57" s="148">
        <f>0.93*150/200</f>
        <v>0.6975</v>
      </c>
    </row>
    <row r="58" spans="1:15" ht="14.25">
      <c r="A58" s="114">
        <v>431</v>
      </c>
      <c r="B58" s="115" t="s">
        <v>62</v>
      </c>
      <c r="C58" s="29" t="s">
        <v>74</v>
      </c>
      <c r="D58" s="143">
        <v>13.15</v>
      </c>
      <c r="E58" s="143">
        <v>9.8</v>
      </c>
      <c r="F58" s="143">
        <v>2.25</v>
      </c>
      <c r="G58" s="143">
        <v>150</v>
      </c>
      <c r="H58" s="144">
        <f>31.37*90/130</f>
        <v>21.71769230769231</v>
      </c>
      <c r="I58" s="144">
        <f>16.61*90/130</f>
        <v>11.499230769230769</v>
      </c>
      <c r="J58" s="144">
        <f>185.24*90/130</f>
        <v>128.24307692307693</v>
      </c>
      <c r="K58" s="144">
        <f>3.8*90/130</f>
        <v>2.6307692307692307</v>
      </c>
      <c r="L58" s="144">
        <f>55.44*90/130</f>
        <v>38.381538461538454</v>
      </c>
      <c r="M58" s="144">
        <f>3.04*90/130</f>
        <v>2.1046153846153848</v>
      </c>
      <c r="N58" s="144">
        <f>10.13*90/130</f>
        <v>7.013076923076923</v>
      </c>
      <c r="O58" s="144">
        <f>5.9*90/130</f>
        <v>4.084615384615384</v>
      </c>
    </row>
    <row r="59" spans="1:15" ht="14.25">
      <c r="A59" s="29">
        <v>516</v>
      </c>
      <c r="B59" s="28" t="s">
        <v>58</v>
      </c>
      <c r="C59" s="97" t="s">
        <v>126</v>
      </c>
      <c r="D59" s="143">
        <v>4.08</v>
      </c>
      <c r="E59" s="143">
        <v>7.56</v>
      </c>
      <c r="F59" s="143">
        <v>19.41</v>
      </c>
      <c r="G59" s="143">
        <v>195.6</v>
      </c>
      <c r="H59" s="144">
        <f>0.53*120/150</f>
        <v>0.424</v>
      </c>
      <c r="I59" s="144">
        <v>0</v>
      </c>
      <c r="J59" s="144">
        <f>45*120/150</f>
        <v>36</v>
      </c>
      <c r="K59" s="144">
        <f>0.9*120/150</f>
        <v>0.72</v>
      </c>
      <c r="L59" s="144">
        <f>29.1*120/150</f>
        <v>23.28</v>
      </c>
      <c r="M59" s="144">
        <f>166.5*120/150</f>
        <v>133.2</v>
      </c>
      <c r="N59" s="144">
        <f>30.2*120/150</f>
        <v>24.16</v>
      </c>
      <c r="O59" s="144">
        <f>1.5*120/150</f>
        <v>1.2</v>
      </c>
    </row>
    <row r="60" spans="1:15" ht="14.25">
      <c r="A60" s="29">
        <v>639</v>
      </c>
      <c r="B60" s="28" t="s">
        <v>32</v>
      </c>
      <c r="C60" s="29">
        <v>180</v>
      </c>
      <c r="D60" s="145">
        <f>0.097*150/180</f>
        <v>0.08083333333333334</v>
      </c>
      <c r="E60" s="145">
        <f>0.039*150/180</f>
        <v>0.0325</v>
      </c>
      <c r="F60" s="145">
        <f>21.512*150/180</f>
        <v>17.92666666666667</v>
      </c>
      <c r="G60" s="145">
        <f>86.785*150/180</f>
        <v>72.32083333333334</v>
      </c>
      <c r="H60" s="145">
        <f>0.002*150/180</f>
        <v>0.0016666666666666666</v>
      </c>
      <c r="I60" s="145">
        <f>0.058*150/180</f>
        <v>0.04833333333333334</v>
      </c>
      <c r="J60" s="145">
        <f>1.358*150/180</f>
        <v>1.1316666666666668</v>
      </c>
      <c r="K60" s="145">
        <f>0.058*150/180</f>
        <v>0.04833333333333334</v>
      </c>
      <c r="L60" s="145">
        <f>7.584*150/180</f>
        <v>6.319999999999999</v>
      </c>
      <c r="M60" s="145">
        <f>4.462*150/180</f>
        <v>3.7183333333333333</v>
      </c>
      <c r="N60" s="145">
        <f>1.746*150/180</f>
        <v>1.4549999999999998</v>
      </c>
      <c r="O60" s="145">
        <f>0.157*150/180</f>
        <v>0.13083333333333333</v>
      </c>
    </row>
    <row r="61" spans="1:15" ht="14.25">
      <c r="A61" s="26" t="s">
        <v>110</v>
      </c>
      <c r="B61" s="27" t="s">
        <v>112</v>
      </c>
      <c r="C61" s="29">
        <v>20</v>
      </c>
      <c r="D61" s="145">
        <v>1.34</v>
      </c>
      <c r="E61" s="145">
        <v>0.27</v>
      </c>
      <c r="F61" s="145">
        <v>8.07</v>
      </c>
      <c r="G61" s="145">
        <v>43.34</v>
      </c>
      <c r="H61" s="145">
        <v>0.05</v>
      </c>
      <c r="I61" s="145">
        <v>0</v>
      </c>
      <c r="J61" s="145">
        <v>0</v>
      </c>
      <c r="K61" s="145">
        <v>0.45</v>
      </c>
      <c r="L61" s="145">
        <v>7.5</v>
      </c>
      <c r="M61" s="145">
        <v>24.68</v>
      </c>
      <c r="N61" s="145">
        <v>5.32</v>
      </c>
      <c r="O61" s="145">
        <v>0.45</v>
      </c>
    </row>
    <row r="62" spans="1:36" ht="14.25">
      <c r="A62" s="26"/>
      <c r="B62" s="27" t="s">
        <v>21</v>
      </c>
      <c r="C62" s="114">
        <v>20</v>
      </c>
      <c r="D62" s="143">
        <f>2.02*20/30</f>
        <v>1.3466666666666667</v>
      </c>
      <c r="E62" s="143">
        <f>0.4*20/30</f>
        <v>0.26666666666666666</v>
      </c>
      <c r="F62" s="143">
        <f>12.1*20/30</f>
        <v>8.066666666666666</v>
      </c>
      <c r="G62" s="143">
        <f>65*20/30</f>
        <v>43.333333333333336</v>
      </c>
      <c r="H62" s="144">
        <f>0.05*20/30</f>
        <v>0.03333333333333333</v>
      </c>
      <c r="I62" s="144">
        <v>0</v>
      </c>
      <c r="J62" s="144">
        <v>0</v>
      </c>
      <c r="K62" s="144">
        <f>0.45*20/30</f>
        <v>0.3</v>
      </c>
      <c r="L62" s="144">
        <f>7.5*20/30</f>
        <v>5</v>
      </c>
      <c r="M62" s="144">
        <f>24.68*20/30</f>
        <v>16.453333333333333</v>
      </c>
      <c r="N62" s="144">
        <f>5.32*20/30</f>
        <v>3.546666666666667</v>
      </c>
      <c r="O62" s="144">
        <f>0.45*20/30</f>
        <v>0.3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</row>
    <row r="63" spans="1:36" ht="15">
      <c r="A63" s="17"/>
      <c r="B63" s="31" t="s">
        <v>26</v>
      </c>
      <c r="C63" s="40">
        <v>585</v>
      </c>
      <c r="D63" s="32">
        <f aca="true" t="shared" si="7" ref="D63:O63">SUM(D56:D62)</f>
        <v>22.8225</v>
      </c>
      <c r="E63" s="32">
        <f t="shared" si="7"/>
        <v>23.879166666666663</v>
      </c>
      <c r="F63" s="32">
        <f t="shared" si="7"/>
        <v>66.79833333333333</v>
      </c>
      <c r="G63" s="32">
        <f>G56+G57+G58+G59+G60+G62</f>
        <v>568.0041666666667</v>
      </c>
      <c r="H63" s="32">
        <f t="shared" si="7"/>
        <v>53.34585897435897</v>
      </c>
      <c r="I63" s="32">
        <f t="shared" si="7"/>
        <v>22.421730769230766</v>
      </c>
      <c r="J63" s="32">
        <f t="shared" si="7"/>
        <v>165.40891025641025</v>
      </c>
      <c r="K63" s="32">
        <f t="shared" si="7"/>
        <v>4.489102564102564</v>
      </c>
      <c r="L63" s="32">
        <f t="shared" si="7"/>
        <v>138.9382051282051</v>
      </c>
      <c r="M63" s="32">
        <f t="shared" si="7"/>
        <v>313.2396153846153</v>
      </c>
      <c r="N63" s="32">
        <f t="shared" si="7"/>
        <v>87.52641025641024</v>
      </c>
      <c r="O63" s="32">
        <f t="shared" si="7"/>
        <v>8.196282051282052</v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</row>
    <row r="64" spans="1:15" ht="15" customHeight="1">
      <c r="A64" s="194" t="s">
        <v>114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6"/>
    </row>
    <row r="65" spans="1:36" ht="14.25">
      <c r="A65" s="29"/>
      <c r="B65" s="28"/>
      <c r="C65" s="30"/>
      <c r="D65" s="13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</row>
    <row r="66" spans="1:36" ht="14.25">
      <c r="A66" s="29"/>
      <c r="B66" s="28"/>
      <c r="C66" s="30"/>
      <c r="D66" s="130"/>
      <c r="E66" s="130"/>
      <c r="F66" s="130"/>
      <c r="G66" s="130"/>
      <c r="H66" s="103"/>
      <c r="I66" s="103"/>
      <c r="J66" s="103"/>
      <c r="K66" s="103"/>
      <c r="L66" s="103"/>
      <c r="M66" s="103"/>
      <c r="N66" s="103"/>
      <c r="O66" s="103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</row>
    <row r="67" spans="1:36" ht="14.25">
      <c r="A67" s="17" t="s">
        <v>111</v>
      </c>
      <c r="B67" s="31" t="s">
        <v>72</v>
      </c>
      <c r="C67" s="17">
        <v>50</v>
      </c>
      <c r="D67" s="150">
        <f>5.8*30/40</f>
        <v>4.35</v>
      </c>
      <c r="E67" s="150">
        <f>22.6*30/40</f>
        <v>16.95</v>
      </c>
      <c r="F67" s="150">
        <f>20.8*30/40</f>
        <v>15.6</v>
      </c>
      <c r="G67" s="150">
        <f>156*30/40</f>
        <v>117</v>
      </c>
      <c r="H67" s="150">
        <v>0</v>
      </c>
      <c r="I67" s="150">
        <f>2.2*30/40</f>
        <v>1.65</v>
      </c>
      <c r="J67" s="151">
        <v>0</v>
      </c>
      <c r="K67" s="151">
        <v>0</v>
      </c>
      <c r="L67" s="151">
        <f>16*30/40</f>
        <v>12</v>
      </c>
      <c r="M67" s="151">
        <f>8*30/40</f>
        <v>6</v>
      </c>
      <c r="N67" s="151">
        <f>6*30/40</f>
        <v>4.5</v>
      </c>
      <c r="O67" s="151">
        <f>0.8*30/40</f>
        <v>0.6</v>
      </c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</row>
    <row r="68" spans="1:36" ht="14.25">
      <c r="A68" s="29">
        <v>685</v>
      </c>
      <c r="B68" s="28" t="s">
        <v>66</v>
      </c>
      <c r="C68" s="30" t="s">
        <v>128</v>
      </c>
      <c r="D68" s="130">
        <f>0.2*150/180</f>
        <v>0.16666666666666666</v>
      </c>
      <c r="E68" s="130">
        <v>0</v>
      </c>
      <c r="F68" s="130">
        <f>15*150/180</f>
        <v>12.5</v>
      </c>
      <c r="G68" s="130">
        <f>58*150/180</f>
        <v>48.333333333333336</v>
      </c>
      <c r="H68" s="103">
        <v>0</v>
      </c>
      <c r="I68" s="103">
        <f>2.2*150/180</f>
        <v>1.8333333333333333</v>
      </c>
      <c r="J68" s="103">
        <v>0</v>
      </c>
      <c r="K68" s="103">
        <v>0</v>
      </c>
      <c r="L68" s="103">
        <f>87*150/180</f>
        <v>72.5</v>
      </c>
      <c r="M68" s="103">
        <f>68*150/180</f>
        <v>56.666666666666664</v>
      </c>
      <c r="N68" s="103">
        <f>14*150/180</f>
        <v>11.666666666666666</v>
      </c>
      <c r="O68" s="103">
        <f>0.8*150/180</f>
        <v>0.6666666666666666</v>
      </c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</row>
    <row r="69" spans="1:36" ht="15">
      <c r="A69" s="56"/>
      <c r="B69" s="63" t="s">
        <v>26</v>
      </c>
      <c r="C69" s="64"/>
      <c r="D69" s="170">
        <f>SUM(D65:D68)</f>
        <v>4.516666666666667</v>
      </c>
      <c r="E69" s="170">
        <f aca="true" t="shared" si="8" ref="E69:O69">SUM(E65:E68)</f>
        <v>16.95</v>
      </c>
      <c r="F69" s="170">
        <f t="shared" si="8"/>
        <v>28.1</v>
      </c>
      <c r="G69" s="170">
        <f t="shared" si="8"/>
        <v>165.33333333333334</v>
      </c>
      <c r="H69" s="170">
        <f t="shared" si="8"/>
        <v>0</v>
      </c>
      <c r="I69" s="170">
        <f t="shared" si="8"/>
        <v>3.4833333333333334</v>
      </c>
      <c r="J69" s="170">
        <f t="shared" si="8"/>
        <v>0</v>
      </c>
      <c r="K69" s="170">
        <f t="shared" si="8"/>
        <v>0</v>
      </c>
      <c r="L69" s="170">
        <f t="shared" si="8"/>
        <v>84.5</v>
      </c>
      <c r="M69" s="170">
        <f t="shared" si="8"/>
        <v>62.666666666666664</v>
      </c>
      <c r="N69" s="170">
        <f t="shared" si="8"/>
        <v>16.166666666666664</v>
      </c>
      <c r="O69" s="170">
        <f t="shared" si="8"/>
        <v>1.2666666666666666</v>
      </c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</row>
    <row r="70" spans="1:36" ht="15">
      <c r="A70" s="49"/>
      <c r="B70" s="55" t="s">
        <v>27</v>
      </c>
      <c r="C70" s="180">
        <v>370</v>
      </c>
      <c r="D70" s="170">
        <f>D51+D63+D69+D54</f>
        <v>38.78916666666667</v>
      </c>
      <c r="E70" s="170">
        <f aca="true" t="shared" si="9" ref="E70:O70">E51+E63+E69+E54</f>
        <v>52.49916666666667</v>
      </c>
      <c r="F70" s="170">
        <f t="shared" si="9"/>
        <v>156.17833333333334</v>
      </c>
      <c r="G70" s="170">
        <f t="shared" si="9"/>
        <v>1137.5375</v>
      </c>
      <c r="H70" s="170">
        <f t="shared" si="9"/>
        <v>53.397292307692304</v>
      </c>
      <c r="I70" s="170">
        <f t="shared" si="9"/>
        <v>31.387897435897436</v>
      </c>
      <c r="J70" s="170">
        <f t="shared" si="9"/>
        <v>166.51291025641027</v>
      </c>
      <c r="K70" s="170">
        <f t="shared" si="9"/>
        <v>4.939102564102564</v>
      </c>
      <c r="L70" s="170">
        <f t="shared" si="9"/>
        <v>443.57020512820515</v>
      </c>
      <c r="M70" s="170">
        <f t="shared" si="9"/>
        <v>599.816282051282</v>
      </c>
      <c r="N70" s="170">
        <f t="shared" si="9"/>
        <v>158.67491025641024</v>
      </c>
      <c r="O70" s="170">
        <f t="shared" si="9"/>
        <v>11.262615384615387</v>
      </c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</row>
    <row r="71" spans="1:36" ht="15">
      <c r="A71" s="7"/>
      <c r="B71" s="186" t="s">
        <v>117</v>
      </c>
      <c r="C71" s="7"/>
      <c r="D71" s="3">
        <v>29.4</v>
      </c>
      <c r="E71" s="3">
        <v>32.9</v>
      </c>
      <c r="F71" s="3">
        <v>142.1</v>
      </c>
      <c r="G71" s="3">
        <v>980</v>
      </c>
      <c r="H71" s="57"/>
      <c r="I71" s="57"/>
      <c r="J71" s="57"/>
      <c r="K71" s="57"/>
      <c r="L71" s="57"/>
      <c r="M71" s="57"/>
      <c r="N71" s="57"/>
      <c r="O71" s="57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</row>
    <row r="72" spans="1:15" ht="15">
      <c r="A72" s="7"/>
      <c r="B72" s="1"/>
      <c r="C72" s="5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5" ht="132.75" customHeight="1">
      <c r="A73" s="7"/>
      <c r="B73" s="1"/>
      <c r="C73" s="5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1:15" ht="15" customHeight="1">
      <c r="A74" s="7"/>
      <c r="B74" s="2"/>
      <c r="C74" s="58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15" customHeight="1">
      <c r="A75" s="99" t="s">
        <v>28</v>
      </c>
      <c r="B75" s="200" t="s">
        <v>129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</row>
    <row r="76" spans="1:15" ht="15">
      <c r="A76" s="7"/>
      <c r="B76" s="2"/>
      <c r="C76" s="58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4.25">
      <c r="A77" s="10" t="s">
        <v>0</v>
      </c>
      <c r="B77" s="9" t="s">
        <v>1</v>
      </c>
      <c r="C77" s="10" t="s">
        <v>2</v>
      </c>
      <c r="D77" s="201" t="s">
        <v>3</v>
      </c>
      <c r="E77" s="202"/>
      <c r="F77" s="203"/>
      <c r="G77" s="10" t="s">
        <v>4</v>
      </c>
      <c r="H77" s="45" t="s">
        <v>5</v>
      </c>
      <c r="I77" s="46"/>
      <c r="J77" s="46"/>
      <c r="K77" s="47"/>
      <c r="L77" s="201" t="s">
        <v>6</v>
      </c>
      <c r="M77" s="202"/>
      <c r="N77" s="202"/>
      <c r="O77" s="203"/>
    </row>
    <row r="78" spans="1:15" ht="18.75">
      <c r="A78" s="13" t="s">
        <v>7</v>
      </c>
      <c r="B78" s="14"/>
      <c r="C78" s="13"/>
      <c r="D78" s="13" t="s">
        <v>8</v>
      </c>
      <c r="E78" s="13" t="s">
        <v>9</v>
      </c>
      <c r="F78" s="13" t="s">
        <v>10</v>
      </c>
      <c r="G78" s="13" t="s">
        <v>11</v>
      </c>
      <c r="H78" s="15" t="s">
        <v>55</v>
      </c>
      <c r="I78" s="15" t="s">
        <v>12</v>
      </c>
      <c r="J78" s="15" t="s">
        <v>13</v>
      </c>
      <c r="K78" s="15" t="s">
        <v>14</v>
      </c>
      <c r="L78" s="16" t="s">
        <v>15</v>
      </c>
      <c r="M78" s="16" t="s">
        <v>16</v>
      </c>
      <c r="N78" s="16" t="s">
        <v>17</v>
      </c>
      <c r="O78" s="16" t="s">
        <v>18</v>
      </c>
    </row>
    <row r="79" spans="1:15" ht="14.25">
      <c r="A79" s="15">
        <v>1</v>
      </c>
      <c r="B79" s="11">
        <v>2</v>
      </c>
      <c r="C79" s="12">
        <v>3</v>
      </c>
      <c r="D79" s="11">
        <v>4</v>
      </c>
      <c r="E79" s="11">
        <v>5</v>
      </c>
      <c r="F79" s="11">
        <v>6</v>
      </c>
      <c r="G79" s="11">
        <v>7</v>
      </c>
      <c r="H79" s="15">
        <v>8</v>
      </c>
      <c r="I79" s="15">
        <v>9</v>
      </c>
      <c r="J79" s="15">
        <v>10</v>
      </c>
      <c r="K79" s="15">
        <v>11</v>
      </c>
      <c r="L79" s="16">
        <v>12</v>
      </c>
      <c r="M79" s="16">
        <v>13</v>
      </c>
      <c r="N79" s="16">
        <v>14</v>
      </c>
      <c r="O79" s="16">
        <v>15</v>
      </c>
    </row>
    <row r="80" spans="1:15" ht="15">
      <c r="A80" s="20"/>
      <c r="B80" s="21" t="s">
        <v>37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27" customHeight="1">
      <c r="A81" s="119" t="s">
        <v>19</v>
      </c>
      <c r="B81" s="119"/>
      <c r="C81" s="20"/>
      <c r="D81" s="197" t="s">
        <v>24</v>
      </c>
      <c r="E81" s="197"/>
      <c r="F81" s="19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32.25" customHeight="1">
      <c r="A82" s="206" t="s">
        <v>51</v>
      </c>
      <c r="B82" s="20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5">
      <c r="A83" s="35"/>
      <c r="B83" s="5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6" ht="14.25">
      <c r="A84" s="17">
        <v>161</v>
      </c>
      <c r="B84" s="23" t="s">
        <v>85</v>
      </c>
      <c r="C84" s="25">
        <v>170</v>
      </c>
      <c r="D84" s="116">
        <v>4.224</v>
      </c>
      <c r="E84" s="116">
        <v>4.992</v>
      </c>
      <c r="F84" s="116">
        <v>12.9</v>
      </c>
      <c r="G84" s="116">
        <v>109.2</v>
      </c>
      <c r="H84" s="116">
        <f>0.13*170/200</f>
        <v>0.1105</v>
      </c>
      <c r="I84" s="116">
        <f>0.24*170/200</f>
        <v>0.204</v>
      </c>
      <c r="J84" s="117">
        <f>68.75*170/200</f>
        <v>58.4375</v>
      </c>
      <c r="K84" s="117">
        <f>0.69*170/200</f>
        <v>0.5865</v>
      </c>
      <c r="L84" s="117">
        <f>148.93*170/200</f>
        <v>126.5905</v>
      </c>
      <c r="M84" s="117">
        <f>185.11*170/200</f>
        <v>157.3435</v>
      </c>
      <c r="N84" s="117">
        <f>21.3*170/200</f>
        <v>18.105</v>
      </c>
      <c r="O84" s="117">
        <f>7.17*170/200</f>
        <v>6.0945</v>
      </c>
      <c r="P84" s="100"/>
    </row>
    <row r="85" spans="1:16" ht="14.25">
      <c r="A85" s="26" t="s">
        <v>111</v>
      </c>
      <c r="B85" s="27" t="s">
        <v>104</v>
      </c>
      <c r="C85" s="114">
        <v>30</v>
      </c>
      <c r="D85" s="143">
        <v>2.25</v>
      </c>
      <c r="E85" s="143">
        <v>0.87</v>
      </c>
      <c r="F85" s="143">
        <v>15.27</v>
      </c>
      <c r="G85" s="143">
        <v>79.2</v>
      </c>
      <c r="H85" s="144">
        <f>0.05*20/30</f>
        <v>0.03333333333333333</v>
      </c>
      <c r="I85" s="144">
        <v>0</v>
      </c>
      <c r="J85" s="144">
        <v>0</v>
      </c>
      <c r="K85" s="144">
        <f>0.45*20/30</f>
        <v>0.3</v>
      </c>
      <c r="L85" s="144">
        <f>7.5*20/30</f>
        <v>5</v>
      </c>
      <c r="M85" s="144">
        <f>24.68*20/30</f>
        <v>16.453333333333333</v>
      </c>
      <c r="N85" s="144">
        <f>5.32*20/30</f>
        <v>3.546666666666667</v>
      </c>
      <c r="O85" s="144">
        <f>0.45*20/30</f>
        <v>0.3</v>
      </c>
      <c r="P85" s="100"/>
    </row>
    <row r="86" spans="1:15" ht="14.25">
      <c r="A86" s="50">
        <v>686</v>
      </c>
      <c r="B86" s="172" t="s">
        <v>49</v>
      </c>
      <c r="C86" s="50">
        <v>180</v>
      </c>
      <c r="D86" s="143">
        <f>0.2*150/180</f>
        <v>0.16666666666666666</v>
      </c>
      <c r="E86" s="143">
        <v>0</v>
      </c>
      <c r="F86" s="143">
        <f>15*150/180</f>
        <v>12.5</v>
      </c>
      <c r="G86" s="143">
        <f>58*150/180</f>
        <v>48.333333333333336</v>
      </c>
      <c r="H86" s="144">
        <v>0</v>
      </c>
      <c r="I86" s="144">
        <f>2.2*150/180</f>
        <v>1.8333333333333333</v>
      </c>
      <c r="J86" s="144">
        <v>0</v>
      </c>
      <c r="K86" s="144">
        <v>0</v>
      </c>
      <c r="L86" s="144">
        <f>87*150/180</f>
        <v>72.5</v>
      </c>
      <c r="M86" s="144">
        <f>68*150/180</f>
        <v>56.666666666666664</v>
      </c>
      <c r="N86" s="144">
        <f>14*150/180</f>
        <v>11.666666666666666</v>
      </c>
      <c r="O86" s="144">
        <f>0.8*150/180</f>
        <v>0.6666666666666666</v>
      </c>
    </row>
    <row r="87" spans="1:17" ht="15">
      <c r="A87" s="17"/>
      <c r="B87" s="31" t="s">
        <v>26</v>
      </c>
      <c r="C87" s="40">
        <v>350</v>
      </c>
      <c r="D87" s="32">
        <f aca="true" t="shared" si="10" ref="D87:O87">SUM(D84:D86)</f>
        <v>6.640666666666667</v>
      </c>
      <c r="E87" s="32">
        <f t="shared" si="10"/>
        <v>5.862</v>
      </c>
      <c r="F87" s="32">
        <f t="shared" si="10"/>
        <v>40.67</v>
      </c>
      <c r="G87" s="32">
        <f t="shared" si="10"/>
        <v>236.73333333333335</v>
      </c>
      <c r="H87" s="32">
        <f t="shared" si="10"/>
        <v>0.14383333333333334</v>
      </c>
      <c r="I87" s="32">
        <f t="shared" si="10"/>
        <v>2.037333333333333</v>
      </c>
      <c r="J87" s="32">
        <f t="shared" si="10"/>
        <v>58.4375</v>
      </c>
      <c r="K87" s="32">
        <f t="shared" si="10"/>
        <v>0.8865000000000001</v>
      </c>
      <c r="L87" s="32">
        <f t="shared" si="10"/>
        <v>204.09050000000002</v>
      </c>
      <c r="M87" s="32">
        <f t="shared" si="10"/>
        <v>230.46349999999998</v>
      </c>
      <c r="N87" s="32">
        <f t="shared" si="10"/>
        <v>33.318333333333335</v>
      </c>
      <c r="O87" s="32">
        <f t="shared" si="10"/>
        <v>7.061166666666667</v>
      </c>
      <c r="P87" s="100"/>
      <c r="Q87" s="6"/>
    </row>
    <row r="88" spans="1:15" ht="15" customHeight="1">
      <c r="A88" s="204" t="s">
        <v>78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6"/>
    </row>
    <row r="89" spans="1:16" ht="14.25">
      <c r="A89" s="17">
        <v>338</v>
      </c>
      <c r="B89" s="31" t="s">
        <v>64</v>
      </c>
      <c r="C89" s="17">
        <v>100</v>
      </c>
      <c r="D89" s="152">
        <f>0.2*100/150</f>
        <v>0.13333333333333333</v>
      </c>
      <c r="E89" s="152">
        <v>0</v>
      </c>
      <c r="F89" s="152">
        <f>15*100/150</f>
        <v>10</v>
      </c>
      <c r="G89" s="152">
        <f>58*100/150</f>
        <v>38.666666666666664</v>
      </c>
      <c r="H89" s="153">
        <v>0</v>
      </c>
      <c r="I89" s="153">
        <f>2.2*100/150</f>
        <v>1.4666666666666668</v>
      </c>
      <c r="J89" s="153">
        <v>0</v>
      </c>
      <c r="K89" s="153">
        <v>0</v>
      </c>
      <c r="L89" s="153">
        <f>87*100/150</f>
        <v>58</v>
      </c>
      <c r="M89" s="153">
        <f>68*100/150</f>
        <v>45.333333333333336</v>
      </c>
      <c r="N89" s="153">
        <f>14*100/150</f>
        <v>9.333333333333334</v>
      </c>
      <c r="O89" s="153">
        <f>0.8*100/150</f>
        <v>0.5333333333333333</v>
      </c>
      <c r="P89" s="100"/>
    </row>
    <row r="90" spans="1:15" ht="15">
      <c r="A90" s="17"/>
      <c r="B90" s="31" t="s">
        <v>26</v>
      </c>
      <c r="C90" s="40">
        <v>100</v>
      </c>
      <c r="D90" s="135">
        <f aca="true" t="shared" si="11" ref="D90:O90">SUM(D89)</f>
        <v>0.13333333333333333</v>
      </c>
      <c r="E90" s="135">
        <f t="shared" si="11"/>
        <v>0</v>
      </c>
      <c r="F90" s="135">
        <f t="shared" si="11"/>
        <v>10</v>
      </c>
      <c r="G90" s="135">
        <f t="shared" si="11"/>
        <v>38.666666666666664</v>
      </c>
      <c r="H90" s="135">
        <f t="shared" si="11"/>
        <v>0</v>
      </c>
      <c r="I90" s="135">
        <f t="shared" si="11"/>
        <v>1.4666666666666668</v>
      </c>
      <c r="J90" s="135">
        <f t="shared" si="11"/>
        <v>0</v>
      </c>
      <c r="K90" s="135">
        <f t="shared" si="11"/>
        <v>0</v>
      </c>
      <c r="L90" s="135">
        <f t="shared" si="11"/>
        <v>58</v>
      </c>
      <c r="M90" s="135">
        <f t="shared" si="11"/>
        <v>45.333333333333336</v>
      </c>
      <c r="N90" s="135">
        <f t="shared" si="11"/>
        <v>9.333333333333334</v>
      </c>
      <c r="O90" s="135">
        <f t="shared" si="11"/>
        <v>0.5333333333333333</v>
      </c>
    </row>
    <row r="91" spans="1:16" s="91" customFormat="1" ht="25.5" customHeight="1">
      <c r="A91" s="7"/>
      <c r="B91" s="2"/>
      <c r="C91" s="7"/>
      <c r="D91" s="35" t="s">
        <v>22</v>
      </c>
      <c r="E91" s="35"/>
      <c r="F91" s="35"/>
      <c r="G91" s="7"/>
      <c r="H91" s="7"/>
      <c r="I91" s="7"/>
      <c r="J91" s="7"/>
      <c r="K91" s="7"/>
      <c r="L91" s="7"/>
      <c r="M91" s="7"/>
      <c r="N91" s="7"/>
      <c r="O91" s="7"/>
      <c r="P91" s="101"/>
    </row>
    <row r="92" spans="1:16" ht="14.25">
      <c r="A92" s="29">
        <v>16</v>
      </c>
      <c r="B92" s="23" t="s">
        <v>86</v>
      </c>
      <c r="C92" s="25">
        <v>50</v>
      </c>
      <c r="D92" s="116">
        <v>0.4</v>
      </c>
      <c r="E92" s="116">
        <v>0</v>
      </c>
      <c r="F92" s="116">
        <v>1.9</v>
      </c>
      <c r="G92" s="116">
        <v>7</v>
      </c>
      <c r="H92" s="116">
        <f>46.6*40/60</f>
        <v>31.066666666666666</v>
      </c>
      <c r="I92" s="116">
        <f>0.1*40/60</f>
        <v>0.06666666666666667</v>
      </c>
      <c r="J92" s="117">
        <f>0.04*40/60</f>
        <v>0.02666666666666667</v>
      </c>
      <c r="K92" s="117">
        <v>0.34</v>
      </c>
      <c r="L92" s="117">
        <f>76.66*40/60</f>
        <v>51.10666666666666</v>
      </c>
      <c r="M92" s="117">
        <f>140*40/60</f>
        <v>93.33333333333333</v>
      </c>
      <c r="N92" s="117">
        <f>46.66*40/60</f>
        <v>31.106666666666666</v>
      </c>
      <c r="O92" s="117">
        <f>2*40/60</f>
        <v>1.3333333333333333</v>
      </c>
      <c r="P92" s="100"/>
    </row>
    <row r="93" spans="1:16" ht="14.25">
      <c r="A93" s="60">
        <v>140</v>
      </c>
      <c r="B93" s="53" t="s">
        <v>46</v>
      </c>
      <c r="C93" s="26" t="s">
        <v>125</v>
      </c>
      <c r="D93" s="139">
        <f>3.4*150/200</f>
        <v>2.55</v>
      </c>
      <c r="E93" s="139">
        <f>6.8*150/200</f>
        <v>5.1</v>
      </c>
      <c r="F93" s="139">
        <f>23.1*150/200</f>
        <v>17.325</v>
      </c>
      <c r="G93" s="139">
        <f>145*150/200</f>
        <v>108.75</v>
      </c>
      <c r="H93" s="140">
        <f>0.08*150/200</f>
        <v>0.06</v>
      </c>
      <c r="I93" s="140">
        <v>0</v>
      </c>
      <c r="J93" s="140">
        <f>10.01*150/200</f>
        <v>7.5075</v>
      </c>
      <c r="K93" s="140">
        <f>0.2*150/200</f>
        <v>0.15</v>
      </c>
      <c r="L93" s="140">
        <f>18.1*150/200</f>
        <v>13.575</v>
      </c>
      <c r="M93" s="140">
        <f>49.1*150/200</f>
        <v>36.825</v>
      </c>
      <c r="N93" s="140">
        <f>17.83*150/200</f>
        <v>13.372499999999997</v>
      </c>
      <c r="O93" s="140">
        <f>0.79*150/200</f>
        <v>0.5925</v>
      </c>
      <c r="P93" s="100"/>
    </row>
    <row r="94" spans="1:16" ht="14.25">
      <c r="A94" s="38">
        <v>331</v>
      </c>
      <c r="B94" s="113" t="s">
        <v>47</v>
      </c>
      <c r="C94" s="167" t="s">
        <v>52</v>
      </c>
      <c r="D94" s="143">
        <v>17.11</v>
      </c>
      <c r="E94" s="143">
        <v>20.95</v>
      </c>
      <c r="F94" s="143">
        <v>31.8</v>
      </c>
      <c r="G94" s="143">
        <v>383.52</v>
      </c>
      <c r="H94" s="144">
        <v>0.36</v>
      </c>
      <c r="I94" s="144">
        <v>40.68</v>
      </c>
      <c r="J94" s="144">
        <v>0.288</v>
      </c>
      <c r="K94" s="144">
        <v>0.68</v>
      </c>
      <c r="L94" s="144">
        <v>52.92</v>
      </c>
      <c r="M94" s="144">
        <v>417.6</v>
      </c>
      <c r="N94" s="144">
        <v>81.7</v>
      </c>
      <c r="O94" s="144">
        <v>5.07</v>
      </c>
      <c r="P94" s="100"/>
    </row>
    <row r="95" spans="1:16" ht="15.75">
      <c r="A95" s="29">
        <v>342</v>
      </c>
      <c r="B95" s="115" t="s">
        <v>123</v>
      </c>
      <c r="C95" s="192">
        <v>180</v>
      </c>
      <c r="D95" s="192">
        <v>0.075</v>
      </c>
      <c r="E95" s="192">
        <v>0.15</v>
      </c>
      <c r="F95" s="192">
        <v>20.62</v>
      </c>
      <c r="G95" s="192">
        <v>84.53</v>
      </c>
      <c r="H95" s="149">
        <f>0.014*150/180</f>
        <v>0.011666666666666667</v>
      </c>
      <c r="I95" s="149">
        <f>0.28*150/180</f>
        <v>0.23333333333333336</v>
      </c>
      <c r="J95" s="149">
        <f>163.4*150/180</f>
        <v>136.16666666666666</v>
      </c>
      <c r="K95" s="149">
        <f>0.76*150/180</f>
        <v>0.6333333333333333</v>
      </c>
      <c r="L95" s="149">
        <f>12.6*150/180</f>
        <v>10.5</v>
      </c>
      <c r="M95" s="149">
        <f>3.4*150/180</f>
        <v>2.8333333333333335</v>
      </c>
      <c r="N95" s="149">
        <f>3.4*150/180</f>
        <v>2.8333333333333335</v>
      </c>
      <c r="O95" s="149">
        <f>0.66*150/180</f>
        <v>0.55</v>
      </c>
      <c r="P95" s="100"/>
    </row>
    <row r="96" spans="1:15" ht="14.25">
      <c r="A96" s="26" t="s">
        <v>110</v>
      </c>
      <c r="B96" s="27" t="s">
        <v>112</v>
      </c>
      <c r="C96" s="29">
        <v>20</v>
      </c>
      <c r="D96" s="145">
        <v>1.34</v>
      </c>
      <c r="E96" s="145">
        <v>0.27</v>
      </c>
      <c r="F96" s="145">
        <v>8.07</v>
      </c>
      <c r="G96" s="145">
        <v>43.34</v>
      </c>
      <c r="H96" s="145">
        <v>0.05</v>
      </c>
      <c r="I96" s="145">
        <v>0</v>
      </c>
      <c r="J96" s="145">
        <v>0</v>
      </c>
      <c r="K96" s="145">
        <v>0.45</v>
      </c>
      <c r="L96" s="145">
        <v>7.5</v>
      </c>
      <c r="M96" s="145">
        <v>24.68</v>
      </c>
      <c r="N96" s="145">
        <v>5.32</v>
      </c>
      <c r="O96" s="145">
        <v>0.45</v>
      </c>
    </row>
    <row r="97" spans="1:16" ht="14.25">
      <c r="A97" s="26"/>
      <c r="B97" s="27" t="s">
        <v>21</v>
      </c>
      <c r="C97" s="114">
        <v>20</v>
      </c>
      <c r="D97" s="143">
        <f>2.02*20/30</f>
        <v>1.3466666666666667</v>
      </c>
      <c r="E97" s="143">
        <f>0.4*20/30</f>
        <v>0.26666666666666666</v>
      </c>
      <c r="F97" s="143">
        <f>12.1*20/30</f>
        <v>8.066666666666666</v>
      </c>
      <c r="G97" s="143">
        <f>65*20/30</f>
        <v>43.333333333333336</v>
      </c>
      <c r="H97" s="144">
        <f>0.05*20/30</f>
        <v>0.03333333333333333</v>
      </c>
      <c r="I97" s="144">
        <v>0</v>
      </c>
      <c r="J97" s="144">
        <v>0</v>
      </c>
      <c r="K97" s="144">
        <f>0.45*20/30</f>
        <v>0.3</v>
      </c>
      <c r="L97" s="144">
        <f>7.5*20/30</f>
        <v>5</v>
      </c>
      <c r="M97" s="144">
        <f>24.68*20/30</f>
        <v>16.453333333333333</v>
      </c>
      <c r="N97" s="144">
        <f>5.32*20/30</f>
        <v>3.546666666666667</v>
      </c>
      <c r="O97" s="144">
        <f>0.45*20/30</f>
        <v>0.3</v>
      </c>
      <c r="P97" s="98"/>
    </row>
    <row r="98" spans="1:16" ht="15">
      <c r="A98" s="17"/>
      <c r="B98" s="31" t="s">
        <v>26</v>
      </c>
      <c r="C98" s="40">
        <v>530</v>
      </c>
      <c r="D98" s="32">
        <f aca="true" t="shared" si="12" ref="D98:L98">SUM(D92:D97)</f>
        <v>22.821666666666665</v>
      </c>
      <c r="E98" s="32">
        <f t="shared" si="12"/>
        <v>26.73666666666666</v>
      </c>
      <c r="F98" s="32">
        <f t="shared" si="12"/>
        <v>87.78166666666667</v>
      </c>
      <c r="G98" s="32">
        <f t="shared" si="12"/>
        <v>670.4733333333334</v>
      </c>
      <c r="H98" s="32">
        <f t="shared" si="12"/>
        <v>31.581666666666667</v>
      </c>
      <c r="I98" s="32">
        <f t="shared" si="12"/>
        <v>40.980000000000004</v>
      </c>
      <c r="J98" s="32">
        <f t="shared" si="12"/>
        <v>143.98883333333333</v>
      </c>
      <c r="K98" s="32">
        <f t="shared" si="12"/>
        <v>2.5533333333333332</v>
      </c>
      <c r="L98" s="32">
        <f t="shared" si="12"/>
        <v>140.60166666666666</v>
      </c>
      <c r="M98" s="32">
        <v>281.72</v>
      </c>
      <c r="N98" s="32">
        <f>SUM(N92:N97)</f>
        <v>137.87916666666666</v>
      </c>
      <c r="O98" s="32">
        <f>SUM(O92:O97)</f>
        <v>8.295833333333334</v>
      </c>
      <c r="P98" s="100"/>
    </row>
    <row r="99" spans="1:15" ht="15" customHeight="1">
      <c r="A99" s="194" t="s">
        <v>65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6"/>
    </row>
    <row r="100" spans="1:15" ht="14.25">
      <c r="A100" s="29">
        <v>773</v>
      </c>
      <c r="B100" s="28" t="s">
        <v>93</v>
      </c>
      <c r="C100" s="30" t="s">
        <v>94</v>
      </c>
      <c r="D100" s="130">
        <v>3.7</v>
      </c>
      <c r="E100" s="130">
        <v>2.4</v>
      </c>
      <c r="F100" s="130">
        <v>24.4</v>
      </c>
      <c r="G100" s="130">
        <v>135</v>
      </c>
      <c r="H100" s="130">
        <v>0.03</v>
      </c>
      <c r="I100" s="130">
        <v>0</v>
      </c>
      <c r="J100" s="130">
        <v>7.27</v>
      </c>
      <c r="K100" s="130">
        <v>0.58</v>
      </c>
      <c r="L100" s="130">
        <v>7.11</v>
      </c>
      <c r="M100" s="130">
        <v>23.38</v>
      </c>
      <c r="N100" s="130">
        <v>4.87</v>
      </c>
      <c r="O100" s="130">
        <v>0.39</v>
      </c>
    </row>
    <row r="101" spans="1:16" ht="14.25">
      <c r="A101" s="29">
        <v>685</v>
      </c>
      <c r="B101" s="31" t="s">
        <v>20</v>
      </c>
      <c r="C101" s="17">
        <v>180</v>
      </c>
      <c r="D101" s="152">
        <f>0.2*150/180</f>
        <v>0.16666666666666666</v>
      </c>
      <c r="E101" s="152">
        <v>0</v>
      </c>
      <c r="F101" s="152">
        <f>15*150/180</f>
        <v>12.5</v>
      </c>
      <c r="G101" s="152">
        <f>58*150/180</f>
        <v>48.333333333333336</v>
      </c>
      <c r="H101" s="153">
        <v>0</v>
      </c>
      <c r="I101" s="153">
        <f>2.2*150/180</f>
        <v>1.8333333333333333</v>
      </c>
      <c r="J101" s="153">
        <v>0</v>
      </c>
      <c r="K101" s="153">
        <v>0</v>
      </c>
      <c r="L101" s="153">
        <f>87*150/180</f>
        <v>72.5</v>
      </c>
      <c r="M101" s="153">
        <f>68*150/180</f>
        <v>56.666666666666664</v>
      </c>
      <c r="N101" s="153">
        <f>14*150/180</f>
        <v>11.666666666666666</v>
      </c>
      <c r="O101" s="153">
        <f>0.8*150/180</f>
        <v>0.6666666666666666</v>
      </c>
      <c r="P101" s="100"/>
    </row>
    <row r="102" spans="1:16" ht="14.25">
      <c r="A102" s="17"/>
      <c r="B102" s="31"/>
      <c r="C102" s="17"/>
      <c r="D102" s="152"/>
      <c r="E102" s="152"/>
      <c r="F102" s="152"/>
      <c r="G102" s="152"/>
      <c r="H102" s="153"/>
      <c r="I102" s="153"/>
      <c r="J102" s="153"/>
      <c r="K102" s="153"/>
      <c r="L102" s="153"/>
      <c r="M102" s="153"/>
      <c r="N102" s="153"/>
      <c r="O102" s="153"/>
      <c r="P102" s="100"/>
    </row>
    <row r="103" spans="1:16" ht="15">
      <c r="A103" s="17"/>
      <c r="B103" s="31" t="s">
        <v>26</v>
      </c>
      <c r="C103" s="17"/>
      <c r="D103" s="154">
        <f>SUM(D100:D102)</f>
        <v>3.8666666666666667</v>
      </c>
      <c r="E103" s="154">
        <f aca="true" t="shared" si="13" ref="E103:O103">SUM(E100:E102)</f>
        <v>2.4</v>
      </c>
      <c r="F103" s="154">
        <f t="shared" si="13"/>
        <v>36.9</v>
      </c>
      <c r="G103" s="154">
        <f t="shared" si="13"/>
        <v>183.33333333333334</v>
      </c>
      <c r="H103" s="154">
        <f t="shared" si="13"/>
        <v>0.03</v>
      </c>
      <c r="I103" s="154">
        <f t="shared" si="13"/>
        <v>1.8333333333333333</v>
      </c>
      <c r="J103" s="154">
        <f t="shared" si="13"/>
        <v>7.27</v>
      </c>
      <c r="K103" s="154">
        <f t="shared" si="13"/>
        <v>0.58</v>
      </c>
      <c r="L103" s="154">
        <f t="shared" si="13"/>
        <v>79.61</v>
      </c>
      <c r="M103" s="154">
        <f t="shared" si="13"/>
        <v>80.04666666666667</v>
      </c>
      <c r="N103" s="154">
        <f t="shared" si="13"/>
        <v>16.536666666666665</v>
      </c>
      <c r="O103" s="154">
        <f t="shared" si="13"/>
        <v>1.0566666666666666</v>
      </c>
      <c r="P103" s="100"/>
    </row>
    <row r="104" spans="1:16" ht="15">
      <c r="A104" s="29"/>
      <c r="B104" s="61" t="s">
        <v>27</v>
      </c>
      <c r="C104" s="62">
        <v>345</v>
      </c>
      <c r="D104" s="155">
        <f>D87+D98+D103+D90</f>
        <v>33.46233333333333</v>
      </c>
      <c r="E104" s="155">
        <f aca="true" t="shared" si="14" ref="E104:O104">E87+E98+E103+E90</f>
        <v>34.99866666666666</v>
      </c>
      <c r="F104" s="155">
        <f t="shared" si="14"/>
        <v>175.35166666666666</v>
      </c>
      <c r="G104" s="155">
        <f t="shared" si="14"/>
        <v>1129.2066666666667</v>
      </c>
      <c r="H104" s="155">
        <f t="shared" si="14"/>
        <v>31.7555</v>
      </c>
      <c r="I104" s="155">
        <f t="shared" si="14"/>
        <v>46.317333333333345</v>
      </c>
      <c r="J104" s="155">
        <f t="shared" si="14"/>
        <v>209.69633333333334</v>
      </c>
      <c r="K104" s="155">
        <f t="shared" si="14"/>
        <v>4.019833333333334</v>
      </c>
      <c r="L104" s="155">
        <f t="shared" si="14"/>
        <v>482.3021666666667</v>
      </c>
      <c r="M104" s="155">
        <f t="shared" si="14"/>
        <v>637.5635</v>
      </c>
      <c r="N104" s="155">
        <f t="shared" si="14"/>
        <v>197.0675</v>
      </c>
      <c r="O104" s="155">
        <f t="shared" si="14"/>
        <v>16.947000000000003</v>
      </c>
      <c r="P104" s="100"/>
    </row>
    <row r="105" spans="1:15" ht="106.5" customHeight="1">
      <c r="A105" s="5"/>
      <c r="B105" s="186" t="s">
        <v>117</v>
      </c>
      <c r="C105" s="7"/>
      <c r="D105" s="3">
        <v>29.4</v>
      </c>
      <c r="E105" s="3">
        <v>32.9</v>
      </c>
      <c r="F105" s="3">
        <v>142.1</v>
      </c>
      <c r="G105" s="3">
        <v>980</v>
      </c>
      <c r="H105" s="57"/>
      <c r="I105" s="57"/>
      <c r="J105" s="57"/>
      <c r="K105" s="57"/>
      <c r="L105" s="57"/>
      <c r="M105" s="57"/>
      <c r="N105" s="57"/>
      <c r="O105" s="57"/>
    </row>
    <row r="106" spans="1:15" ht="15">
      <c r="A106" s="5"/>
      <c r="B106" s="1"/>
      <c r="C106" s="5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</row>
    <row r="107" spans="1:15" ht="14.25">
      <c r="A107" s="7"/>
      <c r="B107" s="2"/>
      <c r="C107" s="5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" customHeight="1">
      <c r="A108" s="7"/>
      <c r="B108" s="2"/>
      <c r="C108" s="5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35.25" customHeight="1">
      <c r="A109" s="200" t="s">
        <v>130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</row>
    <row r="110" spans="1:15" ht="15">
      <c r="A110" s="7"/>
      <c r="B110" s="2"/>
      <c r="C110" s="5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3"/>
    </row>
    <row r="111" spans="1:15" ht="14.25">
      <c r="A111" s="10" t="s">
        <v>0</v>
      </c>
      <c r="B111" s="9" t="s">
        <v>1</v>
      </c>
      <c r="C111" s="10" t="s">
        <v>2</v>
      </c>
      <c r="D111" s="201" t="s">
        <v>3</v>
      </c>
      <c r="E111" s="202"/>
      <c r="F111" s="203"/>
      <c r="G111" s="10" t="s">
        <v>4</v>
      </c>
      <c r="H111" s="45" t="s">
        <v>5</v>
      </c>
      <c r="I111" s="46"/>
      <c r="J111" s="46"/>
      <c r="K111" s="47"/>
      <c r="L111" s="201" t="s">
        <v>6</v>
      </c>
      <c r="M111" s="202"/>
      <c r="N111" s="202"/>
      <c r="O111" s="203"/>
    </row>
    <row r="112" spans="1:15" ht="18.75">
      <c r="A112" s="13" t="s">
        <v>7</v>
      </c>
      <c r="B112" s="14"/>
      <c r="C112" s="13"/>
      <c r="D112" s="13" t="s">
        <v>8</v>
      </c>
      <c r="E112" s="13" t="s">
        <v>9</v>
      </c>
      <c r="F112" s="13" t="s">
        <v>10</v>
      </c>
      <c r="G112" s="13" t="s">
        <v>11</v>
      </c>
      <c r="H112" s="15" t="s">
        <v>55</v>
      </c>
      <c r="I112" s="15" t="s">
        <v>12</v>
      </c>
      <c r="J112" s="15" t="s">
        <v>13</v>
      </c>
      <c r="K112" s="15" t="s">
        <v>14</v>
      </c>
      <c r="L112" s="16" t="s">
        <v>15</v>
      </c>
      <c r="M112" s="16" t="s">
        <v>16</v>
      </c>
      <c r="N112" s="16" t="s">
        <v>17</v>
      </c>
      <c r="O112" s="16" t="s">
        <v>18</v>
      </c>
    </row>
    <row r="113" spans="1:15" ht="14.25">
      <c r="A113" s="15">
        <v>1</v>
      </c>
      <c r="B113" s="11">
        <v>2</v>
      </c>
      <c r="C113" s="12">
        <v>3</v>
      </c>
      <c r="D113" s="11">
        <v>4</v>
      </c>
      <c r="E113" s="11">
        <v>5</v>
      </c>
      <c r="F113" s="11">
        <v>6</v>
      </c>
      <c r="G113" s="11">
        <v>7</v>
      </c>
      <c r="H113" s="15">
        <v>8</v>
      </c>
      <c r="I113" s="15">
        <v>9</v>
      </c>
      <c r="J113" s="15">
        <v>10</v>
      </c>
      <c r="K113" s="15">
        <v>11</v>
      </c>
      <c r="L113" s="16">
        <v>12</v>
      </c>
      <c r="M113" s="16">
        <v>13</v>
      </c>
      <c r="N113" s="16">
        <v>14</v>
      </c>
      <c r="O113" s="16">
        <v>15</v>
      </c>
    </row>
    <row r="114" spans="1:15" ht="28.5" customHeight="1">
      <c r="A114" s="20"/>
      <c r="B114" s="21" t="s">
        <v>38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5">
      <c r="A115" s="122" t="s">
        <v>19</v>
      </c>
      <c r="B115" s="122"/>
      <c r="C115" s="20"/>
      <c r="D115" s="197" t="s">
        <v>25</v>
      </c>
      <c r="E115" s="197"/>
      <c r="F115" s="19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ht="32.25" customHeight="1">
      <c r="A116" s="199" t="s">
        <v>51</v>
      </c>
      <c r="B116" s="19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ht="14.25">
      <c r="A117" s="17">
        <v>161</v>
      </c>
      <c r="B117" s="23" t="s">
        <v>63</v>
      </c>
      <c r="C117" s="126">
        <v>170</v>
      </c>
      <c r="D117" s="116">
        <v>4.09</v>
      </c>
      <c r="E117" s="116">
        <v>1.2</v>
      </c>
      <c r="F117" s="116">
        <v>28.31</v>
      </c>
      <c r="G117" s="116">
        <v>140.32</v>
      </c>
      <c r="H117" s="156">
        <f>0.17*170/200</f>
        <v>0.14450000000000002</v>
      </c>
      <c r="I117" s="156">
        <f>0.9*170/200</f>
        <v>0.765</v>
      </c>
      <c r="J117" s="156">
        <f>53.4*170/200</f>
        <v>45.39</v>
      </c>
      <c r="K117" s="156">
        <f>0.7*170/200</f>
        <v>0.595</v>
      </c>
      <c r="L117" s="156">
        <f>145*170/200</f>
        <v>123.25</v>
      </c>
      <c r="M117" s="156">
        <f>229.3*170/200</f>
        <v>194.905</v>
      </c>
      <c r="N117" s="156">
        <f>69.2*170/200</f>
        <v>58.82</v>
      </c>
      <c r="O117" s="156">
        <f>1.6*170/200</f>
        <v>1.36</v>
      </c>
    </row>
    <row r="118" spans="1:15" ht="14.25">
      <c r="A118" s="26" t="s">
        <v>110</v>
      </c>
      <c r="B118" s="27" t="s">
        <v>104</v>
      </c>
      <c r="C118" s="114">
        <v>30</v>
      </c>
      <c r="D118" s="143">
        <v>2.25</v>
      </c>
      <c r="E118" s="143">
        <v>0.87</v>
      </c>
      <c r="F118" s="143">
        <v>15.27</v>
      </c>
      <c r="G118" s="143">
        <v>79.2</v>
      </c>
      <c r="H118" s="144">
        <f>0.05*20/30</f>
        <v>0.03333333333333333</v>
      </c>
      <c r="I118" s="144">
        <v>0</v>
      </c>
      <c r="J118" s="144">
        <v>0</v>
      </c>
      <c r="K118" s="144">
        <f>0.45*20/30</f>
        <v>0.3</v>
      </c>
      <c r="L118" s="144">
        <f>7.5*20/30</f>
        <v>5</v>
      </c>
      <c r="M118" s="144">
        <f>24.68*20/30</f>
        <v>16.453333333333333</v>
      </c>
      <c r="N118" s="144">
        <f>5.32*20/30</f>
        <v>3.546666666666667</v>
      </c>
      <c r="O118" s="144">
        <f>0.45*20/30</f>
        <v>0.3</v>
      </c>
    </row>
    <row r="119" spans="1:15" ht="14.25">
      <c r="A119" s="29">
        <v>685</v>
      </c>
      <c r="B119" s="28" t="s">
        <v>20</v>
      </c>
      <c r="C119" s="30" t="s">
        <v>128</v>
      </c>
      <c r="D119" s="130">
        <f>0.2*150/180</f>
        <v>0.16666666666666666</v>
      </c>
      <c r="E119" s="130">
        <v>0</v>
      </c>
      <c r="F119" s="130">
        <f>15*150/180</f>
        <v>12.5</v>
      </c>
      <c r="G119" s="130">
        <f>58*150/180</f>
        <v>48.333333333333336</v>
      </c>
      <c r="H119" s="103">
        <v>0</v>
      </c>
      <c r="I119" s="103">
        <f>2.2*150/180</f>
        <v>1.8333333333333333</v>
      </c>
      <c r="J119" s="103">
        <v>0</v>
      </c>
      <c r="K119" s="103">
        <v>0</v>
      </c>
      <c r="L119" s="103">
        <f>87*150/180</f>
        <v>72.5</v>
      </c>
      <c r="M119" s="103">
        <f>68*150/180</f>
        <v>56.666666666666664</v>
      </c>
      <c r="N119" s="103">
        <f>14*150/180</f>
        <v>11.666666666666666</v>
      </c>
      <c r="O119" s="103">
        <f>0.8*150/180</f>
        <v>0.6666666666666666</v>
      </c>
    </row>
    <row r="120" spans="1:15" ht="15">
      <c r="A120" s="17"/>
      <c r="B120" s="31" t="s">
        <v>26</v>
      </c>
      <c r="C120" s="40">
        <v>350</v>
      </c>
      <c r="D120" s="40">
        <f aca="true" t="shared" si="15" ref="D120:O120">SUM(D117:D119)</f>
        <v>6.506666666666667</v>
      </c>
      <c r="E120" s="135">
        <f>F117+F118+F119</f>
        <v>56.08</v>
      </c>
      <c r="F120" s="135">
        <f>F117+F118+F119</f>
        <v>56.08</v>
      </c>
      <c r="G120" s="135">
        <f>G117++G118+G119</f>
        <v>267.8533333333333</v>
      </c>
      <c r="H120" s="40">
        <f t="shared" si="15"/>
        <v>0.17783333333333334</v>
      </c>
      <c r="I120" s="40">
        <f t="shared" si="15"/>
        <v>2.598333333333333</v>
      </c>
      <c r="J120" s="40">
        <f t="shared" si="15"/>
        <v>45.39</v>
      </c>
      <c r="K120" s="40">
        <f t="shared" si="15"/>
        <v>0.895</v>
      </c>
      <c r="L120" s="40">
        <f t="shared" si="15"/>
        <v>200.75</v>
      </c>
      <c r="M120" s="40">
        <f t="shared" si="15"/>
        <v>268.02500000000003</v>
      </c>
      <c r="N120" s="40">
        <f t="shared" si="15"/>
        <v>74.03333333333333</v>
      </c>
      <c r="O120" s="40">
        <f t="shared" si="15"/>
        <v>2.3266666666666667</v>
      </c>
    </row>
    <row r="121" spans="1:15" ht="14.25" customHeight="1">
      <c r="A121" s="204" t="s">
        <v>78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6"/>
    </row>
    <row r="122" spans="1:15" ht="14.25">
      <c r="A122" s="26">
        <v>389</v>
      </c>
      <c r="B122" s="27" t="s">
        <v>80</v>
      </c>
      <c r="C122" s="29">
        <v>150</v>
      </c>
      <c r="D122" s="169">
        <v>3.26</v>
      </c>
      <c r="E122" s="169"/>
      <c r="F122" s="169">
        <v>15.15</v>
      </c>
      <c r="G122" s="169">
        <v>63</v>
      </c>
      <c r="H122" s="169">
        <f>0.019*180/200</f>
        <v>0.0171</v>
      </c>
      <c r="I122" s="169">
        <f>3.8*180/200</f>
        <v>3.42</v>
      </c>
      <c r="J122" s="169">
        <f>0.16*180/200</f>
        <v>0.14400000000000002</v>
      </c>
      <c r="K122" s="169">
        <v>0</v>
      </c>
      <c r="L122" s="169">
        <f>13.3*180/200</f>
        <v>11.97</v>
      </c>
      <c r="M122" s="169">
        <v>0</v>
      </c>
      <c r="N122" s="169">
        <f>2.66*180/200</f>
        <v>2.394</v>
      </c>
      <c r="O122" s="169">
        <v>0</v>
      </c>
    </row>
    <row r="123" spans="1:15" ht="15">
      <c r="A123" s="17"/>
      <c r="B123" s="31" t="s">
        <v>26</v>
      </c>
      <c r="C123" s="40">
        <v>150</v>
      </c>
      <c r="D123" s="135">
        <f aca="true" t="shared" si="16" ref="D123:O123">SUM(D122)</f>
        <v>3.26</v>
      </c>
      <c r="E123" s="135">
        <f t="shared" si="16"/>
        <v>0</v>
      </c>
      <c r="F123" s="135">
        <f t="shared" si="16"/>
        <v>15.15</v>
      </c>
      <c r="G123" s="135">
        <f t="shared" si="16"/>
        <v>63</v>
      </c>
      <c r="H123" s="135">
        <f t="shared" si="16"/>
        <v>0.0171</v>
      </c>
      <c r="I123" s="135">
        <f t="shared" si="16"/>
        <v>3.42</v>
      </c>
      <c r="J123" s="135">
        <f t="shared" si="16"/>
        <v>0.14400000000000002</v>
      </c>
      <c r="K123" s="135">
        <f t="shared" si="16"/>
        <v>0</v>
      </c>
      <c r="L123" s="135">
        <f t="shared" si="16"/>
        <v>11.97</v>
      </c>
      <c r="M123" s="135">
        <f t="shared" si="16"/>
        <v>0</v>
      </c>
      <c r="N123" s="135">
        <f t="shared" si="16"/>
        <v>2.394</v>
      </c>
      <c r="O123" s="135">
        <f t="shared" si="16"/>
        <v>0</v>
      </c>
    </row>
    <row r="124" spans="1:15" ht="15">
      <c r="A124" s="7"/>
      <c r="B124" s="2"/>
      <c r="C124" s="7"/>
      <c r="D124" s="35" t="s">
        <v>22</v>
      </c>
      <c r="E124" s="35"/>
      <c r="F124" s="35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4.25">
      <c r="A125" s="29">
        <v>101</v>
      </c>
      <c r="B125" s="23" t="s">
        <v>88</v>
      </c>
      <c r="C125" s="25">
        <v>50</v>
      </c>
      <c r="D125" s="116">
        <f>2.4*40/60</f>
        <v>1.6</v>
      </c>
      <c r="E125" s="116">
        <f>0.4*40/60</f>
        <v>0.26666666666666666</v>
      </c>
      <c r="F125" s="116">
        <f>11*40/60</f>
        <v>7.333333333333333</v>
      </c>
      <c r="G125" s="116">
        <f>50*40/60</f>
        <v>33.333333333333336</v>
      </c>
      <c r="H125" s="116">
        <f>46.6*40/60</f>
        <v>31.066666666666666</v>
      </c>
      <c r="I125" s="116">
        <f>0.1*40/60</f>
        <v>0.06666666666666667</v>
      </c>
      <c r="J125" s="117">
        <f>0.04*40/60</f>
        <v>0.02666666666666667</v>
      </c>
      <c r="K125" s="117">
        <v>0.34</v>
      </c>
      <c r="L125" s="117">
        <f>76.66*40/60</f>
        <v>51.10666666666666</v>
      </c>
      <c r="M125" s="117">
        <f>140*40/60</f>
        <v>93.33333333333333</v>
      </c>
      <c r="N125" s="117">
        <f>46.66*40/60</f>
        <v>31.106666666666666</v>
      </c>
      <c r="O125" s="117">
        <f>2*40/60</f>
        <v>1.3333333333333333</v>
      </c>
    </row>
    <row r="126" spans="1:15" ht="14.25">
      <c r="A126" s="26">
        <v>110</v>
      </c>
      <c r="B126" s="27" t="s">
        <v>48</v>
      </c>
      <c r="C126" s="54" t="s">
        <v>125</v>
      </c>
      <c r="D126" s="146">
        <f>2.05*150/200</f>
        <v>1.5375</v>
      </c>
      <c r="E126" s="146">
        <f>6.7*150/200</f>
        <v>5.025</v>
      </c>
      <c r="F126" s="146">
        <f>15.2*150/200</f>
        <v>11.4</v>
      </c>
      <c r="G126" s="146">
        <f>130*150/200</f>
        <v>97.5</v>
      </c>
      <c r="H126" s="147">
        <f>8.9*150/200</f>
        <v>6.675</v>
      </c>
      <c r="I126" s="147">
        <f>8.2*150/200</f>
        <v>6.15</v>
      </c>
      <c r="J126" s="147">
        <f>10.14*150/200</f>
        <v>7.605</v>
      </c>
      <c r="K126" s="147">
        <f>0.3*150/200</f>
        <v>0.225</v>
      </c>
      <c r="L126" s="147">
        <f>32.4*150/200</f>
        <v>24.3</v>
      </c>
      <c r="M126" s="147">
        <f>74*150/200</f>
        <v>55.5</v>
      </c>
      <c r="N126" s="147">
        <f>10*150/200</f>
        <v>7.5</v>
      </c>
      <c r="O126" s="148">
        <f>0.3*150/200</f>
        <v>0.225</v>
      </c>
    </row>
    <row r="127" spans="1:15" ht="14.25">
      <c r="A127" s="29" t="s">
        <v>43</v>
      </c>
      <c r="B127" s="28" t="s">
        <v>87</v>
      </c>
      <c r="C127" s="29" t="s">
        <v>75</v>
      </c>
      <c r="D127" s="161">
        <f>17.4*80/110</f>
        <v>12.654545454545454</v>
      </c>
      <c r="E127" s="161">
        <f>23.24*80/110</f>
        <v>16.90181818181818</v>
      </c>
      <c r="F127" s="161">
        <f>21.8*80/110</f>
        <v>15.854545454545455</v>
      </c>
      <c r="G127" s="161">
        <f>366*80/110</f>
        <v>266.1818181818182</v>
      </c>
      <c r="H127" s="162">
        <f>0.02*80/110</f>
        <v>0.014545454545454545</v>
      </c>
      <c r="I127" s="162">
        <f>7.6*80/110</f>
        <v>5.527272727272727</v>
      </c>
      <c r="J127" s="162">
        <f>174.3*80/110</f>
        <v>126.76363636363637</v>
      </c>
      <c r="K127" s="162">
        <f>4.18*80/110</f>
        <v>3.0399999999999996</v>
      </c>
      <c r="L127" s="162">
        <f>26.54*80/110</f>
        <v>19.30181818181818</v>
      </c>
      <c r="M127" s="162">
        <f>204.6*80/110</f>
        <v>148.8</v>
      </c>
      <c r="N127" s="162">
        <f>38.94*80/110</f>
        <v>28.319999999999997</v>
      </c>
      <c r="O127" s="162">
        <f>3.02*80/110</f>
        <v>2.1963636363636363</v>
      </c>
    </row>
    <row r="128" spans="1:15" ht="14.25">
      <c r="A128" s="29">
        <v>514</v>
      </c>
      <c r="B128" s="115" t="s">
        <v>30</v>
      </c>
      <c r="C128" s="29">
        <v>130</v>
      </c>
      <c r="D128" s="143">
        <f>14.1*120/150</f>
        <v>11.28</v>
      </c>
      <c r="E128" s="143">
        <f>6.9*120/150</f>
        <v>5.52</v>
      </c>
      <c r="F128" s="143">
        <f>33.4*120/150</f>
        <v>26.72</v>
      </c>
      <c r="G128" s="143">
        <f>255*120/150</f>
        <v>204</v>
      </c>
      <c r="H128" s="144">
        <v>0</v>
      </c>
      <c r="I128" s="144">
        <f>2.8*120/150</f>
        <v>2.24</v>
      </c>
      <c r="J128" s="144">
        <v>0</v>
      </c>
      <c r="K128" s="144">
        <f>0.2*120/150</f>
        <v>0.16</v>
      </c>
      <c r="L128" s="144">
        <f>18*120/150</f>
        <v>14.4</v>
      </c>
      <c r="M128" s="144">
        <f>10*120/150</f>
        <v>8</v>
      </c>
      <c r="N128" s="144">
        <f>4*120/150</f>
        <v>3.2</v>
      </c>
      <c r="O128" s="144">
        <f>0.6*120/150</f>
        <v>0.48</v>
      </c>
    </row>
    <row r="129" spans="1:15" ht="14.25">
      <c r="A129" s="29">
        <v>639</v>
      </c>
      <c r="B129" s="28" t="s">
        <v>32</v>
      </c>
      <c r="C129" s="29">
        <v>180</v>
      </c>
      <c r="D129" s="145">
        <f>0.097*150/180</f>
        <v>0.08083333333333334</v>
      </c>
      <c r="E129" s="145">
        <f>0.039*150/180</f>
        <v>0.0325</v>
      </c>
      <c r="F129" s="145">
        <f>21.512*150/180</f>
        <v>17.92666666666667</v>
      </c>
      <c r="G129" s="145">
        <f>86.785*150/180</f>
        <v>72.32083333333334</v>
      </c>
      <c r="H129" s="145">
        <f>0.002*150/180</f>
        <v>0.0016666666666666666</v>
      </c>
      <c r="I129" s="145">
        <f>0.058*150/180</f>
        <v>0.04833333333333334</v>
      </c>
      <c r="J129" s="145">
        <f>1.358*150/180</f>
        <v>1.1316666666666668</v>
      </c>
      <c r="K129" s="145">
        <f>0.058*150/180</f>
        <v>0.04833333333333334</v>
      </c>
      <c r="L129" s="145">
        <f>7.584*150/180</f>
        <v>6.319999999999999</v>
      </c>
      <c r="M129" s="145">
        <f>4.462*150/180</f>
        <v>3.7183333333333333</v>
      </c>
      <c r="N129" s="145">
        <f>1.746*150/180</f>
        <v>1.4549999999999998</v>
      </c>
      <c r="O129" s="145">
        <f>0.157*150/180</f>
        <v>0.13083333333333333</v>
      </c>
    </row>
    <row r="130" spans="1:15" ht="14.25">
      <c r="A130" s="26" t="s">
        <v>110</v>
      </c>
      <c r="B130" s="27" t="s">
        <v>112</v>
      </c>
      <c r="C130" s="29">
        <v>20</v>
      </c>
      <c r="D130" s="145">
        <v>1.34</v>
      </c>
      <c r="E130" s="145">
        <v>0.27</v>
      </c>
      <c r="F130" s="145">
        <v>8.07</v>
      </c>
      <c r="G130" s="145">
        <v>43.34</v>
      </c>
      <c r="H130" s="145">
        <v>0.05</v>
      </c>
      <c r="I130" s="145">
        <v>0</v>
      </c>
      <c r="J130" s="145">
        <v>0</v>
      </c>
      <c r="K130" s="145">
        <v>0.45</v>
      </c>
      <c r="L130" s="145">
        <v>7.5</v>
      </c>
      <c r="M130" s="145">
        <v>24.68</v>
      </c>
      <c r="N130" s="145">
        <v>5.32</v>
      </c>
      <c r="O130" s="145">
        <v>0.45</v>
      </c>
    </row>
    <row r="131" spans="1:16" ht="14.25">
      <c r="A131" s="26"/>
      <c r="B131" s="27" t="s">
        <v>21</v>
      </c>
      <c r="C131" s="114">
        <v>20</v>
      </c>
      <c r="D131" s="143">
        <f>2.02*20/30</f>
        <v>1.3466666666666667</v>
      </c>
      <c r="E131" s="143">
        <f>0.4*20/30</f>
        <v>0.26666666666666666</v>
      </c>
      <c r="F131" s="143">
        <f>12.1*20/30</f>
        <v>8.066666666666666</v>
      </c>
      <c r="G131" s="143">
        <f>65*20/30</f>
        <v>43.333333333333336</v>
      </c>
      <c r="H131" s="144">
        <f>0.05*20/30</f>
        <v>0.03333333333333333</v>
      </c>
      <c r="I131" s="144">
        <v>0</v>
      </c>
      <c r="J131" s="144">
        <v>0</v>
      </c>
      <c r="K131" s="144">
        <f>0.45*20/30</f>
        <v>0.3</v>
      </c>
      <c r="L131" s="144">
        <f>7.5*20/30</f>
        <v>5</v>
      </c>
      <c r="M131" s="144">
        <f>24.68*20/30</f>
        <v>16.453333333333333</v>
      </c>
      <c r="N131" s="144">
        <f>5.32*20/30</f>
        <v>3.546666666666667</v>
      </c>
      <c r="O131" s="144">
        <f>0.45*20/30</f>
        <v>0.3</v>
      </c>
      <c r="P131" s="98"/>
    </row>
    <row r="132" spans="1:15" ht="15">
      <c r="A132" s="29"/>
      <c r="B132" s="28" t="s">
        <v>26</v>
      </c>
      <c r="C132" s="181" t="s">
        <v>91</v>
      </c>
      <c r="D132" s="124">
        <f aca="true" t="shared" si="17" ref="D132:O132">SUM(D125:D131)</f>
        <v>29.839545454545455</v>
      </c>
      <c r="E132" s="124">
        <f t="shared" si="17"/>
        <v>28.28265151515151</v>
      </c>
      <c r="F132" s="124">
        <f t="shared" si="17"/>
        <v>95.37121212121212</v>
      </c>
      <c r="G132" s="124">
        <f t="shared" si="17"/>
        <v>760.0093181818182</v>
      </c>
      <c r="H132" s="124">
        <f t="shared" si="17"/>
        <v>37.841212121212116</v>
      </c>
      <c r="I132" s="124">
        <f t="shared" si="17"/>
        <v>14.032272727272728</v>
      </c>
      <c r="J132" s="124">
        <f t="shared" si="17"/>
        <v>135.5269696969697</v>
      </c>
      <c r="K132" s="124">
        <f t="shared" si="17"/>
        <v>4.563333333333333</v>
      </c>
      <c r="L132" s="124">
        <f t="shared" si="17"/>
        <v>127.92848484848484</v>
      </c>
      <c r="M132" s="124">
        <f t="shared" si="17"/>
        <v>350.48499999999996</v>
      </c>
      <c r="N132" s="124">
        <f t="shared" si="17"/>
        <v>80.44833333333334</v>
      </c>
      <c r="O132" s="124">
        <f t="shared" si="17"/>
        <v>5.115530303030303</v>
      </c>
    </row>
    <row r="133" spans="1:15" ht="15" customHeight="1">
      <c r="A133" s="194" t="s">
        <v>65</v>
      </c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6"/>
    </row>
    <row r="134" spans="1:15" ht="14.25">
      <c r="A134" s="29">
        <v>315</v>
      </c>
      <c r="B134" s="28" t="s">
        <v>89</v>
      </c>
      <c r="C134" s="30" t="s">
        <v>90</v>
      </c>
      <c r="D134" s="93">
        <v>4.32</v>
      </c>
      <c r="E134" s="93">
        <v>8.48</v>
      </c>
      <c r="F134" s="93">
        <v>25.68</v>
      </c>
      <c r="G134" s="93">
        <v>197.6</v>
      </c>
      <c r="H134" s="94">
        <f>0.07*60/80</f>
        <v>0.052500000000000005</v>
      </c>
      <c r="I134" s="94">
        <f>0.73*60/80</f>
        <v>0.5475</v>
      </c>
      <c r="J134" s="95">
        <f>40*60/80</f>
        <v>30</v>
      </c>
      <c r="K134" s="95">
        <f>17*60/80</f>
        <v>12.75</v>
      </c>
      <c r="L134" s="95">
        <f>84.1*60/80</f>
        <v>63.075</v>
      </c>
      <c r="M134" s="95">
        <f>121.7*60/80</f>
        <v>91.275</v>
      </c>
      <c r="N134" s="95">
        <f>32.2*60/80</f>
        <v>24.150000000000002</v>
      </c>
      <c r="O134" s="95">
        <f>0.64*60/80</f>
        <v>0.48</v>
      </c>
    </row>
    <row r="135" spans="1:15" ht="14.25" hidden="1">
      <c r="A135" s="17"/>
      <c r="B135" s="31"/>
      <c r="C135" s="17"/>
      <c r="D135" s="152"/>
      <c r="E135" s="152"/>
      <c r="F135" s="152"/>
      <c r="G135" s="152"/>
      <c r="H135" s="153"/>
      <c r="I135" s="153"/>
      <c r="J135" s="153"/>
      <c r="K135" s="153"/>
      <c r="L135" s="153"/>
      <c r="M135" s="153"/>
      <c r="N135" s="153"/>
      <c r="O135" s="153"/>
    </row>
    <row r="136" spans="1:15" ht="14.25">
      <c r="A136" s="29">
        <v>685</v>
      </c>
      <c r="B136" s="28" t="s">
        <v>20</v>
      </c>
      <c r="C136" s="30" t="s">
        <v>128</v>
      </c>
      <c r="D136" s="130">
        <f>0.2*150/180</f>
        <v>0.16666666666666666</v>
      </c>
      <c r="E136" s="130">
        <v>0</v>
      </c>
      <c r="F136" s="130">
        <f>15*150/180</f>
        <v>12.5</v>
      </c>
      <c r="G136" s="130">
        <f>58*150/180</f>
        <v>48.333333333333336</v>
      </c>
      <c r="H136" s="103">
        <v>0</v>
      </c>
      <c r="I136" s="103">
        <f>2.2*150/180</f>
        <v>1.8333333333333333</v>
      </c>
      <c r="J136" s="103">
        <v>0</v>
      </c>
      <c r="K136" s="103">
        <v>0</v>
      </c>
      <c r="L136" s="103">
        <f>87*150/180</f>
        <v>72.5</v>
      </c>
      <c r="M136" s="103">
        <f>68*150/180</f>
        <v>56.666666666666664</v>
      </c>
      <c r="N136" s="103">
        <f>14*150/180</f>
        <v>11.666666666666666</v>
      </c>
      <c r="O136" s="103">
        <f>0.8*150/180</f>
        <v>0.6666666666666666</v>
      </c>
    </row>
    <row r="137" spans="1:15" ht="15">
      <c r="A137" s="29"/>
      <c r="B137" s="28" t="s">
        <v>26</v>
      </c>
      <c r="C137" s="181" t="s">
        <v>92</v>
      </c>
      <c r="D137" s="62">
        <f>SUM(D134:D136)</f>
        <v>4.486666666666667</v>
      </c>
      <c r="E137" s="155">
        <f>E134+E135+E136</f>
        <v>8.48</v>
      </c>
      <c r="F137" s="155">
        <f>F134+F135+F136</f>
        <v>38.18</v>
      </c>
      <c r="G137" s="155">
        <f>G134+G135+G136</f>
        <v>245.93333333333334</v>
      </c>
      <c r="H137" s="62">
        <f aca="true" t="shared" si="18" ref="H137:N137">SUM(H134:H136)</f>
        <v>0.052500000000000005</v>
      </c>
      <c r="I137" s="62">
        <f t="shared" si="18"/>
        <v>2.3808333333333334</v>
      </c>
      <c r="J137" s="62">
        <f t="shared" si="18"/>
        <v>30</v>
      </c>
      <c r="K137" s="62">
        <f t="shared" si="18"/>
        <v>12.75</v>
      </c>
      <c r="L137" s="62">
        <f t="shared" si="18"/>
        <v>135.575</v>
      </c>
      <c r="M137" s="62">
        <f t="shared" si="18"/>
        <v>147.94166666666666</v>
      </c>
      <c r="N137" s="62">
        <f t="shared" si="18"/>
        <v>35.81666666666667</v>
      </c>
      <c r="O137" s="62">
        <f>SUM(O134:O136)</f>
        <v>1.1466666666666665</v>
      </c>
    </row>
    <row r="138" spans="1:15" ht="15">
      <c r="A138" s="17"/>
      <c r="B138" s="66" t="s">
        <v>27</v>
      </c>
      <c r="C138" s="40"/>
      <c r="D138" s="32">
        <f>D120+D132+D137+D123</f>
        <v>44.09287878787878</v>
      </c>
      <c r="E138" s="32">
        <f aca="true" t="shared" si="19" ref="E138:O138">E120+E132+E137+E123</f>
        <v>92.84265151515152</v>
      </c>
      <c r="F138" s="32">
        <f t="shared" si="19"/>
        <v>204.78121212121212</v>
      </c>
      <c r="G138" s="32">
        <f t="shared" si="19"/>
        <v>1336.795984848485</v>
      </c>
      <c r="H138" s="32">
        <f t="shared" si="19"/>
        <v>38.08864545454545</v>
      </c>
      <c r="I138" s="32">
        <f t="shared" si="19"/>
        <v>22.4314393939394</v>
      </c>
      <c r="J138" s="32">
        <f t="shared" si="19"/>
        <v>211.06096969696972</v>
      </c>
      <c r="K138" s="32">
        <f t="shared" si="19"/>
        <v>18.208333333333332</v>
      </c>
      <c r="L138" s="32">
        <f t="shared" si="19"/>
        <v>476.2234848484849</v>
      </c>
      <c r="M138" s="32">
        <f t="shared" si="19"/>
        <v>766.4516666666666</v>
      </c>
      <c r="N138" s="32">
        <f t="shared" si="19"/>
        <v>192.69233333333335</v>
      </c>
      <c r="O138" s="32">
        <f t="shared" si="19"/>
        <v>8.588863636363635</v>
      </c>
    </row>
    <row r="139" spans="1:16" ht="15">
      <c r="A139" s="20"/>
      <c r="B139" s="186" t="s">
        <v>117</v>
      </c>
      <c r="C139" s="7"/>
      <c r="D139" s="3">
        <v>29.4</v>
      </c>
      <c r="E139" s="3">
        <v>32.9</v>
      </c>
      <c r="F139" s="3">
        <v>142.1</v>
      </c>
      <c r="G139" s="3">
        <v>980</v>
      </c>
      <c r="H139" s="35"/>
      <c r="I139" s="35"/>
      <c r="J139" s="35"/>
      <c r="K139" s="35"/>
      <c r="L139" s="35"/>
      <c r="M139" s="35"/>
      <c r="N139" s="35"/>
      <c r="O139" s="35"/>
      <c r="P139" s="104"/>
    </row>
    <row r="140" spans="1:16" ht="28.5" customHeight="1">
      <c r="A140" s="7"/>
      <c r="B140" s="2"/>
      <c r="C140" s="58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104"/>
    </row>
    <row r="141" spans="1:16" ht="15">
      <c r="A141" s="7"/>
      <c r="B141" s="2"/>
      <c r="C141" s="58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104"/>
    </row>
    <row r="142" spans="1:15" ht="15" customHeight="1">
      <c r="A142" s="7"/>
      <c r="B142" s="2"/>
      <c r="C142" s="58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1:15" ht="36.75" customHeight="1">
      <c r="A143" s="200" t="s">
        <v>129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</row>
    <row r="144" spans="1:15" ht="15">
      <c r="A144" s="7"/>
      <c r="B144" s="2"/>
      <c r="C144" s="58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1:15" ht="14.25">
      <c r="A145" s="10" t="s">
        <v>0</v>
      </c>
      <c r="B145" s="9" t="s">
        <v>1</v>
      </c>
      <c r="C145" s="10" t="s">
        <v>2</v>
      </c>
      <c r="D145" s="201" t="s">
        <v>3</v>
      </c>
      <c r="E145" s="202"/>
      <c r="F145" s="203"/>
      <c r="G145" s="10" t="s">
        <v>4</v>
      </c>
      <c r="H145" s="45" t="s">
        <v>5</v>
      </c>
      <c r="I145" s="46"/>
      <c r="J145" s="46"/>
      <c r="K145" s="47"/>
      <c r="L145" s="201" t="s">
        <v>6</v>
      </c>
      <c r="M145" s="202"/>
      <c r="N145" s="202"/>
      <c r="O145" s="203"/>
    </row>
    <row r="146" spans="1:15" ht="18.75">
      <c r="A146" s="13" t="s">
        <v>7</v>
      </c>
      <c r="B146" s="14"/>
      <c r="C146" s="13"/>
      <c r="D146" s="13" t="s">
        <v>8</v>
      </c>
      <c r="E146" s="13" t="s">
        <v>9</v>
      </c>
      <c r="F146" s="13" t="s">
        <v>10</v>
      </c>
      <c r="G146" s="13" t="s">
        <v>11</v>
      </c>
      <c r="H146" s="15" t="s">
        <v>55</v>
      </c>
      <c r="I146" s="15" t="s">
        <v>12</v>
      </c>
      <c r="J146" s="15" t="s">
        <v>13</v>
      </c>
      <c r="K146" s="15" t="s">
        <v>14</v>
      </c>
      <c r="L146" s="16" t="s">
        <v>15</v>
      </c>
      <c r="M146" s="16" t="s">
        <v>16</v>
      </c>
      <c r="N146" s="16" t="s">
        <v>17</v>
      </c>
      <c r="O146" s="16" t="s">
        <v>18</v>
      </c>
    </row>
    <row r="147" spans="1:15" ht="14.25">
      <c r="A147" s="15">
        <v>1</v>
      </c>
      <c r="B147" s="11">
        <v>2</v>
      </c>
      <c r="C147" s="12">
        <v>3</v>
      </c>
      <c r="D147" s="11">
        <v>4</v>
      </c>
      <c r="E147" s="11">
        <v>5</v>
      </c>
      <c r="F147" s="11">
        <v>6</v>
      </c>
      <c r="G147" s="11">
        <v>7</v>
      </c>
      <c r="H147" s="15">
        <v>8</v>
      </c>
      <c r="I147" s="15">
        <v>9</v>
      </c>
      <c r="J147" s="15">
        <v>10</v>
      </c>
      <c r="K147" s="15">
        <v>11</v>
      </c>
      <c r="L147" s="16">
        <v>12</v>
      </c>
      <c r="M147" s="16">
        <v>13</v>
      </c>
      <c r="N147" s="16">
        <v>14</v>
      </c>
      <c r="O147" s="16">
        <v>15</v>
      </c>
    </row>
    <row r="148" spans="1:15" ht="15">
      <c r="A148" s="20"/>
      <c r="B148" s="21" t="s">
        <v>39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15">
      <c r="A149" s="122" t="s">
        <v>19</v>
      </c>
      <c r="B149" s="122"/>
      <c r="C149" s="20"/>
      <c r="D149" s="197" t="s">
        <v>24</v>
      </c>
      <c r="E149" s="197"/>
      <c r="F149" s="19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32.25" customHeight="1">
      <c r="A150" s="199" t="s">
        <v>51</v>
      </c>
      <c r="B150" s="19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ht="14.25">
      <c r="A151" s="29">
        <v>160</v>
      </c>
      <c r="B151" s="23" t="s">
        <v>67</v>
      </c>
      <c r="C151" s="52">
        <v>170</v>
      </c>
      <c r="D151" s="159">
        <f>5.73*170/200</f>
        <v>4.8705</v>
      </c>
      <c r="E151" s="159">
        <f>4.74*170/200</f>
        <v>4.029</v>
      </c>
      <c r="F151" s="159">
        <f>20.93*170/200</f>
        <v>17.790499999999998</v>
      </c>
      <c r="G151" s="159">
        <f>150.15*170/200</f>
        <v>127.6275</v>
      </c>
      <c r="H151" s="160">
        <f>0.06*170/200</f>
        <v>0.051</v>
      </c>
      <c r="I151" s="160">
        <f>0.73*170/200</f>
        <v>0.6204999999999999</v>
      </c>
      <c r="J151" s="160">
        <f>20.1*170/200</f>
        <v>17.085</v>
      </c>
      <c r="K151" s="160">
        <f>0.32*170/200</f>
        <v>0.272</v>
      </c>
      <c r="L151" s="160">
        <f>148.48*170/200</f>
        <v>126.208</v>
      </c>
      <c r="M151" s="160">
        <f>126.9*170/200</f>
        <v>107.865</v>
      </c>
      <c r="N151" s="163">
        <f>20.14*170/200</f>
        <v>17.119</v>
      </c>
      <c r="O151" s="103">
        <f>0.45*170/200</f>
        <v>0.3825</v>
      </c>
    </row>
    <row r="152" spans="1:15" ht="14.25">
      <c r="A152" s="26" t="s">
        <v>111</v>
      </c>
      <c r="B152" s="27" t="s">
        <v>104</v>
      </c>
      <c r="C152" s="114">
        <v>30</v>
      </c>
      <c r="D152" s="143">
        <v>2.25</v>
      </c>
      <c r="E152" s="143">
        <v>0.87</v>
      </c>
      <c r="F152" s="143">
        <v>15.27</v>
      </c>
      <c r="G152" s="143">
        <v>79.2</v>
      </c>
      <c r="H152" s="144">
        <f>0.05*20/30</f>
        <v>0.03333333333333333</v>
      </c>
      <c r="I152" s="144">
        <v>0</v>
      </c>
      <c r="J152" s="144">
        <v>0</v>
      </c>
      <c r="K152" s="144">
        <f>0.45*20/30</f>
        <v>0.3</v>
      </c>
      <c r="L152" s="144">
        <f>7.5*20/30</f>
        <v>5</v>
      </c>
      <c r="M152" s="144">
        <f>24.68*20/30</f>
        <v>16.453333333333333</v>
      </c>
      <c r="N152" s="144">
        <f>5.32*20/30</f>
        <v>3.546666666666667</v>
      </c>
      <c r="O152" s="144">
        <f>0.45*20/30</f>
        <v>0.3</v>
      </c>
    </row>
    <row r="153" spans="1:15" ht="14.25">
      <c r="A153" s="50">
        <v>686</v>
      </c>
      <c r="B153" s="172" t="s">
        <v>49</v>
      </c>
      <c r="C153" s="50">
        <v>180</v>
      </c>
      <c r="D153" s="143">
        <f>0.2*150/180</f>
        <v>0.16666666666666666</v>
      </c>
      <c r="E153" s="143">
        <v>0</v>
      </c>
      <c r="F153" s="143">
        <f>15*150/180</f>
        <v>12.5</v>
      </c>
      <c r="G153" s="143">
        <f>58*150/180</f>
        <v>48.333333333333336</v>
      </c>
      <c r="H153" s="144">
        <v>0</v>
      </c>
      <c r="I153" s="144">
        <f>2.2*150/180</f>
        <v>1.8333333333333333</v>
      </c>
      <c r="J153" s="144">
        <v>0</v>
      </c>
      <c r="K153" s="144">
        <v>0</v>
      </c>
      <c r="L153" s="144">
        <f>87*150/180</f>
        <v>72.5</v>
      </c>
      <c r="M153" s="144">
        <f>68*150/180</f>
        <v>56.666666666666664</v>
      </c>
      <c r="N153" s="144">
        <f>14*150/180</f>
        <v>11.666666666666666</v>
      </c>
      <c r="O153" s="144">
        <f>0.8*150/180</f>
        <v>0.6666666666666666</v>
      </c>
    </row>
    <row r="154" spans="1:15" ht="15">
      <c r="A154" s="17"/>
      <c r="B154" s="31" t="s">
        <v>26</v>
      </c>
      <c r="C154" s="40">
        <v>355</v>
      </c>
      <c r="D154" s="135">
        <f aca="true" t="shared" si="20" ref="D154:O154">SUM(D151:D153)</f>
        <v>7.287166666666667</v>
      </c>
      <c r="E154" s="135">
        <f t="shared" si="20"/>
        <v>4.899</v>
      </c>
      <c r="F154" s="135">
        <f t="shared" si="20"/>
        <v>45.5605</v>
      </c>
      <c r="G154" s="135">
        <f t="shared" si="20"/>
        <v>255.16083333333333</v>
      </c>
      <c r="H154" s="135">
        <f t="shared" si="20"/>
        <v>0.08433333333333333</v>
      </c>
      <c r="I154" s="135">
        <f t="shared" si="20"/>
        <v>2.4538333333333333</v>
      </c>
      <c r="J154" s="135">
        <f t="shared" si="20"/>
        <v>17.085</v>
      </c>
      <c r="K154" s="135">
        <f t="shared" si="20"/>
        <v>0.5720000000000001</v>
      </c>
      <c r="L154" s="135">
        <f t="shared" si="20"/>
        <v>203.708</v>
      </c>
      <c r="M154" s="135">
        <f t="shared" si="20"/>
        <v>180.98499999999999</v>
      </c>
      <c r="N154" s="135">
        <f t="shared" si="20"/>
        <v>32.33233333333333</v>
      </c>
      <c r="O154" s="135">
        <f t="shared" si="20"/>
        <v>1.3491666666666666</v>
      </c>
    </row>
    <row r="155" spans="1:15" ht="15" customHeight="1">
      <c r="A155" s="204" t="s">
        <v>78</v>
      </c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6"/>
    </row>
    <row r="156" spans="1:15" ht="14.25">
      <c r="A156" s="29">
        <v>338</v>
      </c>
      <c r="B156" s="28" t="s">
        <v>64</v>
      </c>
      <c r="C156" s="30" t="s">
        <v>76</v>
      </c>
      <c r="D156" s="164">
        <v>0.5333333333333333</v>
      </c>
      <c r="E156" s="164">
        <v>0.5333333333333333</v>
      </c>
      <c r="F156" s="164">
        <v>13.066666666666668</v>
      </c>
      <c r="G156" s="164">
        <v>58.666666666666664</v>
      </c>
      <c r="H156" s="164">
        <v>0.04</v>
      </c>
      <c r="I156" s="164">
        <v>13.333333333333334</v>
      </c>
      <c r="J156" s="165">
        <v>0</v>
      </c>
      <c r="K156" s="165">
        <v>0</v>
      </c>
      <c r="L156" s="165">
        <v>21.333333333333332</v>
      </c>
      <c r="M156" s="165">
        <v>22</v>
      </c>
      <c r="N156" s="165">
        <v>12</v>
      </c>
      <c r="O156" s="165">
        <v>2.9333333333333336</v>
      </c>
    </row>
    <row r="157" spans="1:15" ht="15">
      <c r="A157" s="17"/>
      <c r="B157" s="31" t="s">
        <v>26</v>
      </c>
      <c r="C157" s="40">
        <v>100</v>
      </c>
      <c r="D157" s="135">
        <f aca="true" t="shared" si="21" ref="D157:O157">SUM(D156)</f>
        <v>0.5333333333333333</v>
      </c>
      <c r="E157" s="135">
        <f t="shared" si="21"/>
        <v>0.5333333333333333</v>
      </c>
      <c r="F157" s="135">
        <f t="shared" si="21"/>
        <v>13.066666666666668</v>
      </c>
      <c r="G157" s="135">
        <f t="shared" si="21"/>
        <v>58.666666666666664</v>
      </c>
      <c r="H157" s="135">
        <f t="shared" si="21"/>
        <v>0.04</v>
      </c>
      <c r="I157" s="135">
        <f t="shared" si="21"/>
        <v>13.333333333333334</v>
      </c>
      <c r="J157" s="135">
        <f t="shared" si="21"/>
        <v>0</v>
      </c>
      <c r="K157" s="135">
        <f t="shared" si="21"/>
        <v>0</v>
      </c>
      <c r="L157" s="135">
        <f t="shared" si="21"/>
        <v>21.333333333333332</v>
      </c>
      <c r="M157" s="135">
        <f t="shared" si="21"/>
        <v>22</v>
      </c>
      <c r="N157" s="135">
        <f t="shared" si="21"/>
        <v>12</v>
      </c>
      <c r="O157" s="135">
        <f t="shared" si="21"/>
        <v>2.9333333333333336</v>
      </c>
    </row>
    <row r="158" spans="1:15" ht="15">
      <c r="A158" s="7"/>
      <c r="B158" s="2"/>
      <c r="C158" s="7"/>
      <c r="D158" s="35" t="s">
        <v>22</v>
      </c>
      <c r="E158" s="35"/>
      <c r="F158" s="35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4.25">
      <c r="A159" s="29">
        <v>33</v>
      </c>
      <c r="B159" s="23" t="s">
        <v>108</v>
      </c>
      <c r="C159" s="25">
        <v>50</v>
      </c>
      <c r="D159" s="116">
        <v>0.71</v>
      </c>
      <c r="E159" s="116">
        <v>3.04</v>
      </c>
      <c r="F159" s="116">
        <v>4.18</v>
      </c>
      <c r="G159" s="116">
        <v>46.95</v>
      </c>
      <c r="H159" s="116">
        <v>0.009</v>
      </c>
      <c r="I159" s="116">
        <f>0.1*40/60</f>
        <v>0.06666666666666667</v>
      </c>
      <c r="J159" s="117">
        <f>0.04*40/60</f>
        <v>0.02666666666666667</v>
      </c>
      <c r="K159" s="117">
        <v>0.34</v>
      </c>
      <c r="L159" s="117">
        <v>17.57</v>
      </c>
      <c r="M159" s="117">
        <f>140*40/60</f>
        <v>93.33333333333333</v>
      </c>
      <c r="N159" s="117">
        <f>46.66*40/60</f>
        <v>31.106666666666666</v>
      </c>
      <c r="O159" s="117">
        <v>0.66</v>
      </c>
    </row>
    <row r="160" spans="1:15" ht="14.25">
      <c r="A160" s="29">
        <v>132</v>
      </c>
      <c r="B160" s="37" t="s">
        <v>59</v>
      </c>
      <c r="C160" s="29" t="s">
        <v>73</v>
      </c>
      <c r="D160" s="143">
        <f>3*150/200</f>
        <v>2.25</v>
      </c>
      <c r="E160" s="143">
        <f>4.5*150/200</f>
        <v>3.375</v>
      </c>
      <c r="F160" s="143">
        <f>20.1*150/200</f>
        <v>15.075</v>
      </c>
      <c r="G160" s="143">
        <f>135*150/200</f>
        <v>101.25</v>
      </c>
      <c r="H160" s="144">
        <v>0</v>
      </c>
      <c r="I160" s="144">
        <f>4.7*150/200</f>
        <v>3.525</v>
      </c>
      <c r="J160" s="144">
        <v>0</v>
      </c>
      <c r="K160" s="144">
        <f>0.3*150/200</f>
        <v>0.225</v>
      </c>
      <c r="L160" s="144">
        <f>18*150/200</f>
        <v>13.5</v>
      </c>
      <c r="M160" s="144">
        <f>77*150/200</f>
        <v>57.75</v>
      </c>
      <c r="N160" s="144">
        <f>13*150/200</f>
        <v>9.75</v>
      </c>
      <c r="O160" s="144">
        <f>0.4*150/200</f>
        <v>0.3</v>
      </c>
    </row>
    <row r="161" spans="1:15" ht="14.25">
      <c r="A161" s="29">
        <v>478</v>
      </c>
      <c r="B161" s="115" t="s">
        <v>105</v>
      </c>
      <c r="C161" s="29" t="s">
        <v>106</v>
      </c>
      <c r="D161" s="143">
        <v>12.5</v>
      </c>
      <c r="E161" s="143">
        <v>12.25</v>
      </c>
      <c r="F161" s="143">
        <v>17.94</v>
      </c>
      <c r="G161" s="143">
        <v>247.5</v>
      </c>
      <c r="H161" s="144">
        <f>24.9*150/200</f>
        <v>18.675</v>
      </c>
      <c r="I161" s="144">
        <f>39.08*150/200</f>
        <v>29.31</v>
      </c>
      <c r="J161" s="144">
        <f>147.59*150/200</f>
        <v>110.6925</v>
      </c>
      <c r="K161" s="144">
        <f>2.12*150/200</f>
        <v>1.59</v>
      </c>
      <c r="L161" s="144">
        <f>27.97*150/200</f>
        <v>20.9775</v>
      </c>
      <c r="M161" s="144">
        <f>2.24*150/200</f>
        <v>1.6800000000000004</v>
      </c>
      <c r="N161" s="144">
        <f>0.16*150/200</f>
        <v>0.12</v>
      </c>
      <c r="O161" s="144">
        <f>12.2*150/200</f>
        <v>9.15</v>
      </c>
    </row>
    <row r="162" spans="1:16" ht="15.75">
      <c r="A162" s="29">
        <v>342</v>
      </c>
      <c r="B162" s="115" t="s">
        <v>123</v>
      </c>
      <c r="C162" s="192">
        <v>180</v>
      </c>
      <c r="D162" s="192">
        <v>0.075</v>
      </c>
      <c r="E162" s="192">
        <v>0.15</v>
      </c>
      <c r="F162" s="192">
        <v>20.62</v>
      </c>
      <c r="G162" s="192">
        <v>84.53</v>
      </c>
      <c r="H162" s="149">
        <f>0.014*150/180</f>
        <v>0.011666666666666667</v>
      </c>
      <c r="I162" s="149">
        <f>0.28*150/180</f>
        <v>0.23333333333333336</v>
      </c>
      <c r="J162" s="149">
        <f>163.4*150/180</f>
        <v>136.16666666666666</v>
      </c>
      <c r="K162" s="149">
        <f>0.76*150/180</f>
        <v>0.6333333333333333</v>
      </c>
      <c r="L162" s="149">
        <f>12.6*150/180</f>
        <v>10.5</v>
      </c>
      <c r="M162" s="149">
        <f>3.4*150/180</f>
        <v>2.8333333333333335</v>
      </c>
      <c r="N162" s="149">
        <f>3.4*150/180</f>
        <v>2.8333333333333335</v>
      </c>
      <c r="O162" s="149">
        <f>0.66*150/180</f>
        <v>0.55</v>
      </c>
      <c r="P162" s="100"/>
    </row>
    <row r="163" spans="1:15" ht="14.25">
      <c r="A163" s="26" t="s">
        <v>110</v>
      </c>
      <c r="B163" s="27" t="s">
        <v>112</v>
      </c>
      <c r="C163" s="29">
        <v>20</v>
      </c>
      <c r="D163" s="145">
        <v>1.34</v>
      </c>
      <c r="E163" s="145">
        <v>0.27</v>
      </c>
      <c r="F163" s="145">
        <v>8.07</v>
      </c>
      <c r="G163" s="145">
        <v>43.34</v>
      </c>
      <c r="H163" s="145">
        <v>0.05</v>
      </c>
      <c r="I163" s="145">
        <v>0</v>
      </c>
      <c r="J163" s="145">
        <v>0</v>
      </c>
      <c r="K163" s="145">
        <v>0.45</v>
      </c>
      <c r="L163" s="145">
        <v>7.5</v>
      </c>
      <c r="M163" s="145">
        <v>24.68</v>
      </c>
      <c r="N163" s="145">
        <v>5.32</v>
      </c>
      <c r="O163" s="145">
        <v>0.45</v>
      </c>
    </row>
    <row r="164" spans="1:16" ht="14.25">
      <c r="A164" s="26"/>
      <c r="B164" s="27" t="s">
        <v>21</v>
      </c>
      <c r="C164" s="114">
        <v>20</v>
      </c>
      <c r="D164" s="143">
        <f>2.02*20/30</f>
        <v>1.3466666666666667</v>
      </c>
      <c r="E164" s="143">
        <f>0.4*20/30</f>
        <v>0.26666666666666666</v>
      </c>
      <c r="F164" s="143">
        <f>12.1*20/30</f>
        <v>8.066666666666666</v>
      </c>
      <c r="G164" s="143">
        <f>65*20/30</f>
        <v>43.333333333333336</v>
      </c>
      <c r="H164" s="144">
        <f>0.05*20/30</f>
        <v>0.03333333333333333</v>
      </c>
      <c r="I164" s="144">
        <v>0</v>
      </c>
      <c r="J164" s="144">
        <v>0</v>
      </c>
      <c r="K164" s="144">
        <f>0.45*20/30</f>
        <v>0.3</v>
      </c>
      <c r="L164" s="144">
        <f>7.5*20/30</f>
        <v>5</v>
      </c>
      <c r="M164" s="144">
        <f>24.68*20/30</f>
        <v>16.453333333333333</v>
      </c>
      <c r="N164" s="144">
        <f>5.32*20/30</f>
        <v>3.546666666666667</v>
      </c>
      <c r="O164" s="144">
        <f>0.45*20/30</f>
        <v>0.3</v>
      </c>
      <c r="P164" s="98"/>
    </row>
    <row r="165" spans="1:15" ht="15">
      <c r="A165" s="29"/>
      <c r="B165" s="28" t="s">
        <v>26</v>
      </c>
      <c r="C165" s="181" t="s">
        <v>95</v>
      </c>
      <c r="D165" s="124">
        <f aca="true" t="shared" si="22" ref="D165:O165">SUM(D159:D164)</f>
        <v>18.221666666666668</v>
      </c>
      <c r="E165" s="124">
        <f t="shared" si="22"/>
        <v>19.351666666666663</v>
      </c>
      <c r="F165" s="124">
        <f t="shared" si="22"/>
        <v>73.95166666666665</v>
      </c>
      <c r="G165" s="124">
        <f t="shared" si="22"/>
        <v>566.9033333333334</v>
      </c>
      <c r="H165" s="124">
        <f t="shared" si="22"/>
        <v>18.779000000000003</v>
      </c>
      <c r="I165" s="124">
        <f t="shared" si="22"/>
        <v>33.135</v>
      </c>
      <c r="J165" s="124">
        <f t="shared" si="22"/>
        <v>246.88583333333332</v>
      </c>
      <c r="K165" s="124">
        <f t="shared" si="22"/>
        <v>3.5383333333333336</v>
      </c>
      <c r="L165" s="124">
        <f t="shared" si="22"/>
        <v>75.0475</v>
      </c>
      <c r="M165" s="124">
        <f t="shared" si="22"/>
        <v>196.73000000000002</v>
      </c>
      <c r="N165" s="124">
        <f t="shared" si="22"/>
        <v>52.67666666666667</v>
      </c>
      <c r="O165" s="124">
        <f t="shared" si="22"/>
        <v>11.41</v>
      </c>
    </row>
    <row r="166" spans="1:15" ht="15" customHeight="1">
      <c r="A166" s="194" t="s">
        <v>65</v>
      </c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6"/>
    </row>
    <row r="167" spans="1:15" ht="14.25">
      <c r="A167" s="29">
        <v>773</v>
      </c>
      <c r="B167" s="28" t="s">
        <v>93</v>
      </c>
      <c r="C167" s="30" t="s">
        <v>94</v>
      </c>
      <c r="D167" s="130">
        <v>3.7</v>
      </c>
      <c r="E167" s="130">
        <v>2.4</v>
      </c>
      <c r="F167" s="130">
        <v>24.4</v>
      </c>
      <c r="G167" s="130">
        <v>135</v>
      </c>
      <c r="H167" s="130">
        <v>0.03</v>
      </c>
      <c r="I167" s="130">
        <v>0</v>
      </c>
      <c r="J167" s="130">
        <v>7.27</v>
      </c>
      <c r="K167" s="130">
        <v>0.58</v>
      </c>
      <c r="L167" s="130">
        <v>7.11</v>
      </c>
      <c r="M167" s="130">
        <v>23.38</v>
      </c>
      <c r="N167" s="130">
        <v>4.87</v>
      </c>
      <c r="O167" s="130">
        <v>0.39</v>
      </c>
    </row>
    <row r="168" spans="1:15" ht="14.25">
      <c r="A168" s="29">
        <v>685</v>
      </c>
      <c r="B168" s="28" t="s">
        <v>20</v>
      </c>
      <c r="C168" s="30" t="s">
        <v>128</v>
      </c>
      <c r="D168" s="130">
        <f>0.2*150/180</f>
        <v>0.16666666666666666</v>
      </c>
      <c r="E168" s="130">
        <v>0</v>
      </c>
      <c r="F168" s="130">
        <f>15*150/180</f>
        <v>12.5</v>
      </c>
      <c r="G168" s="130">
        <f>58*150/180</f>
        <v>48.333333333333336</v>
      </c>
      <c r="H168" s="103">
        <v>0</v>
      </c>
      <c r="I168" s="103">
        <f>2.2*150/180</f>
        <v>1.8333333333333333</v>
      </c>
      <c r="J168" s="103">
        <v>0</v>
      </c>
      <c r="K168" s="103">
        <v>0</v>
      </c>
      <c r="L168" s="103">
        <f>87*150/180</f>
        <v>72.5</v>
      </c>
      <c r="M168" s="103">
        <f>68*150/180</f>
        <v>56.666666666666664</v>
      </c>
      <c r="N168" s="103">
        <f>14*150/180</f>
        <v>11.666666666666666</v>
      </c>
      <c r="O168" s="103">
        <f>0.8*150/180</f>
        <v>0.6666666666666666</v>
      </c>
    </row>
    <row r="169" spans="1:15" ht="14.25">
      <c r="A169" s="29"/>
      <c r="B169" s="28"/>
      <c r="C169" s="30"/>
      <c r="D169" s="164"/>
      <c r="E169" s="164"/>
      <c r="F169" s="164"/>
      <c r="G169" s="164"/>
      <c r="H169" s="164"/>
      <c r="I169" s="164"/>
      <c r="J169" s="165"/>
      <c r="K169" s="165"/>
      <c r="L169" s="165"/>
      <c r="M169" s="165"/>
      <c r="N169" s="165"/>
      <c r="O169" s="165"/>
    </row>
    <row r="170" spans="1:15" ht="15">
      <c r="A170" s="29"/>
      <c r="B170" s="28" t="s">
        <v>26</v>
      </c>
      <c r="C170" s="181" t="s">
        <v>118</v>
      </c>
      <c r="D170" s="166">
        <f>SUM(D167:D169)</f>
        <v>3.8666666666666667</v>
      </c>
      <c r="E170" s="166">
        <f aca="true" t="shared" si="23" ref="E170:O170">SUM(E167:E169)</f>
        <v>2.4</v>
      </c>
      <c r="F170" s="166">
        <f t="shared" si="23"/>
        <v>36.9</v>
      </c>
      <c r="G170" s="166">
        <f t="shared" si="23"/>
        <v>183.33333333333334</v>
      </c>
      <c r="H170" s="166">
        <f t="shared" si="23"/>
        <v>0.03</v>
      </c>
      <c r="I170" s="166">
        <f t="shared" si="23"/>
        <v>1.8333333333333333</v>
      </c>
      <c r="J170" s="166">
        <f t="shared" si="23"/>
        <v>7.27</v>
      </c>
      <c r="K170" s="166">
        <f t="shared" si="23"/>
        <v>0.58</v>
      </c>
      <c r="L170" s="166">
        <f t="shared" si="23"/>
        <v>79.61</v>
      </c>
      <c r="M170" s="166">
        <f t="shared" si="23"/>
        <v>80.04666666666667</v>
      </c>
      <c r="N170" s="166">
        <f t="shared" si="23"/>
        <v>16.536666666666665</v>
      </c>
      <c r="O170" s="166">
        <f t="shared" si="23"/>
        <v>1.0566666666666666</v>
      </c>
    </row>
    <row r="171" spans="1:15" ht="15">
      <c r="A171" s="17"/>
      <c r="B171" s="22" t="s">
        <v>27</v>
      </c>
      <c r="C171" s="17"/>
      <c r="D171" s="135">
        <f>D154+D165+D157+D170</f>
        <v>29.908833333333337</v>
      </c>
      <c r="E171" s="135">
        <f aca="true" t="shared" si="24" ref="E171:O171">E154+E165+E157+E170</f>
        <v>27.183999999999997</v>
      </c>
      <c r="F171" s="135">
        <f t="shared" si="24"/>
        <v>169.4788333333333</v>
      </c>
      <c r="G171" s="135">
        <f t="shared" si="24"/>
        <v>1064.0641666666668</v>
      </c>
      <c r="H171" s="135">
        <f t="shared" si="24"/>
        <v>18.933333333333337</v>
      </c>
      <c r="I171" s="135">
        <f t="shared" si="24"/>
        <v>50.755500000000005</v>
      </c>
      <c r="J171" s="135">
        <f t="shared" si="24"/>
        <v>271.2408333333333</v>
      </c>
      <c r="K171" s="135">
        <f t="shared" si="24"/>
        <v>4.690333333333333</v>
      </c>
      <c r="L171" s="135">
        <f t="shared" si="24"/>
        <v>379.6988333333333</v>
      </c>
      <c r="M171" s="135">
        <f t="shared" si="24"/>
        <v>479.7616666666667</v>
      </c>
      <c r="N171" s="135">
        <f t="shared" si="24"/>
        <v>113.54566666666666</v>
      </c>
      <c r="O171" s="135">
        <f t="shared" si="24"/>
        <v>16.749166666666667</v>
      </c>
    </row>
    <row r="172" spans="1:15" ht="204" customHeight="1">
      <c r="A172" s="7"/>
      <c r="B172" s="186" t="s">
        <v>117</v>
      </c>
      <c r="C172" s="7"/>
      <c r="D172" s="3">
        <v>29.4</v>
      </c>
      <c r="E172" s="3">
        <v>32.9</v>
      </c>
      <c r="F172" s="3">
        <v>142.1</v>
      </c>
      <c r="G172" s="3">
        <v>980</v>
      </c>
      <c r="H172" s="43"/>
      <c r="I172" s="43"/>
      <c r="J172" s="43"/>
      <c r="K172" s="43"/>
      <c r="L172" s="43"/>
      <c r="M172" s="43"/>
      <c r="N172" s="43"/>
      <c r="O172" s="43"/>
    </row>
    <row r="173" spans="1:15" ht="15" customHeight="1">
      <c r="A173" s="7"/>
      <c r="B173" s="59"/>
      <c r="C173" s="7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1:15" ht="36" customHeight="1">
      <c r="A174" s="200" t="s">
        <v>129</v>
      </c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</row>
    <row r="175" spans="1:15" ht="15">
      <c r="A175" s="7"/>
      <c r="B175" s="2"/>
      <c r="C175" s="58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1:15" ht="14.25">
      <c r="A176" s="109" t="s">
        <v>0</v>
      </c>
      <c r="B176" s="67" t="s">
        <v>1</v>
      </c>
      <c r="C176" s="44" t="s">
        <v>2</v>
      </c>
      <c r="D176" s="201" t="s">
        <v>3</v>
      </c>
      <c r="E176" s="202"/>
      <c r="F176" s="203"/>
      <c r="G176" s="44" t="s">
        <v>4</v>
      </c>
      <c r="H176" s="45" t="s">
        <v>5</v>
      </c>
      <c r="I176" s="46"/>
      <c r="J176" s="46"/>
      <c r="K176" s="47"/>
      <c r="L176" s="201" t="s">
        <v>6</v>
      </c>
      <c r="M176" s="202"/>
      <c r="N176" s="202"/>
      <c r="O176" s="205"/>
    </row>
    <row r="177" spans="1:15" ht="18.75">
      <c r="A177" s="68" t="s">
        <v>7</v>
      </c>
      <c r="B177" s="14"/>
      <c r="C177" s="13"/>
      <c r="D177" s="13" t="s">
        <v>8</v>
      </c>
      <c r="E177" s="13" t="s">
        <v>9</v>
      </c>
      <c r="F177" s="13" t="s">
        <v>10</v>
      </c>
      <c r="G177" s="13" t="s">
        <v>11</v>
      </c>
      <c r="H177" s="15" t="s">
        <v>55</v>
      </c>
      <c r="I177" s="15" t="s">
        <v>12</v>
      </c>
      <c r="J177" s="15" t="s">
        <v>13</v>
      </c>
      <c r="K177" s="15" t="s">
        <v>14</v>
      </c>
      <c r="L177" s="16" t="s">
        <v>15</v>
      </c>
      <c r="M177" s="16" t="s">
        <v>16</v>
      </c>
      <c r="N177" s="16" t="s">
        <v>17</v>
      </c>
      <c r="O177" s="69" t="s">
        <v>18</v>
      </c>
    </row>
    <row r="178" spans="1:15" ht="14.25">
      <c r="A178" s="70">
        <v>1</v>
      </c>
      <c r="B178" s="71">
        <v>2</v>
      </c>
      <c r="C178" s="72">
        <v>3</v>
      </c>
      <c r="D178" s="71">
        <v>4</v>
      </c>
      <c r="E178" s="71">
        <v>5</v>
      </c>
      <c r="F178" s="71">
        <v>6</v>
      </c>
      <c r="G178" s="71">
        <v>7</v>
      </c>
      <c r="H178" s="73">
        <v>8</v>
      </c>
      <c r="I178" s="73">
        <v>9</v>
      </c>
      <c r="J178" s="73">
        <v>10</v>
      </c>
      <c r="K178" s="73">
        <v>11</v>
      </c>
      <c r="L178" s="74">
        <v>12</v>
      </c>
      <c r="M178" s="74">
        <v>13</v>
      </c>
      <c r="N178" s="74">
        <v>14</v>
      </c>
      <c r="O178" s="75">
        <v>15</v>
      </c>
    </row>
    <row r="179" spans="1:15" ht="15">
      <c r="A179" s="20"/>
      <c r="B179" s="21" t="s">
        <v>40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6" ht="15">
      <c r="A180" s="19" t="s">
        <v>19</v>
      </c>
      <c r="B180" s="21"/>
      <c r="C180" s="20"/>
      <c r="D180" s="197" t="s">
        <v>24</v>
      </c>
      <c r="E180" s="197"/>
      <c r="F180" s="19"/>
      <c r="G180" s="20"/>
      <c r="H180" s="20"/>
      <c r="I180" s="20"/>
      <c r="J180" s="20"/>
      <c r="K180" s="20"/>
      <c r="L180" s="20"/>
      <c r="M180" s="20"/>
      <c r="N180" s="20"/>
      <c r="O180" s="20"/>
      <c r="P180" s="7"/>
    </row>
    <row r="181" spans="1:15" ht="31.5" customHeight="1">
      <c r="A181" s="199" t="s">
        <v>51</v>
      </c>
      <c r="B181" s="19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1:15" ht="14.25">
      <c r="A182" s="17">
        <v>161</v>
      </c>
      <c r="B182" s="24" t="s">
        <v>68</v>
      </c>
      <c r="C182" s="25">
        <v>170</v>
      </c>
      <c r="D182" s="116">
        <v>4.224</v>
      </c>
      <c r="E182" s="116">
        <v>4.992</v>
      </c>
      <c r="F182" s="116">
        <v>12.9</v>
      </c>
      <c r="G182" s="116">
        <v>109.2</v>
      </c>
      <c r="H182" s="156">
        <f>0.17*170/200</f>
        <v>0.14450000000000002</v>
      </c>
      <c r="I182" s="156">
        <f>0.9*170/200</f>
        <v>0.765</v>
      </c>
      <c r="J182" s="156">
        <f>53.4*170/200</f>
        <v>45.39</v>
      </c>
      <c r="K182" s="156">
        <f>0.7*170/200</f>
        <v>0.595</v>
      </c>
      <c r="L182" s="156">
        <f>145*170/200</f>
        <v>123.25</v>
      </c>
      <c r="M182" s="156">
        <f>229.3*170/200</f>
        <v>194.905</v>
      </c>
      <c r="N182" s="156">
        <f>69.2*170/200</f>
        <v>58.82</v>
      </c>
      <c r="O182" s="156">
        <f>1.6*170/200</f>
        <v>1.36</v>
      </c>
    </row>
    <row r="183" spans="1:15" ht="14.25">
      <c r="A183" s="26" t="s">
        <v>111</v>
      </c>
      <c r="B183" s="27" t="s">
        <v>104</v>
      </c>
      <c r="C183" s="114">
        <v>30</v>
      </c>
      <c r="D183" s="143">
        <v>2.25</v>
      </c>
      <c r="E183" s="143">
        <v>0.87</v>
      </c>
      <c r="F183" s="143">
        <v>15.27</v>
      </c>
      <c r="G183" s="143">
        <v>79.2</v>
      </c>
      <c r="H183" s="144">
        <f>0.05*20/30</f>
        <v>0.03333333333333333</v>
      </c>
      <c r="I183" s="144">
        <v>0</v>
      </c>
      <c r="J183" s="144">
        <v>0</v>
      </c>
      <c r="K183" s="144">
        <f>0.45*20/30</f>
        <v>0.3</v>
      </c>
      <c r="L183" s="144">
        <f>7.5*20/30</f>
        <v>5</v>
      </c>
      <c r="M183" s="144">
        <f>24.68*20/30</f>
        <v>16.453333333333333</v>
      </c>
      <c r="N183" s="144">
        <f>5.32*20/30</f>
        <v>3.546666666666667</v>
      </c>
      <c r="O183" s="144">
        <f>0.45*20/30</f>
        <v>0.3</v>
      </c>
    </row>
    <row r="184" spans="1:15" ht="14.25">
      <c r="A184" s="26">
        <v>7</v>
      </c>
      <c r="B184" s="27" t="s">
        <v>79</v>
      </c>
      <c r="C184" s="114">
        <v>7</v>
      </c>
      <c r="D184" s="143">
        <v>3.48</v>
      </c>
      <c r="E184" s="143">
        <v>4.42</v>
      </c>
      <c r="F184" s="143"/>
      <c r="G184" s="143">
        <v>54</v>
      </c>
      <c r="H184" s="144">
        <v>0.06</v>
      </c>
      <c r="I184" s="144"/>
      <c r="J184" s="144"/>
      <c r="K184" s="144">
        <v>0.045</v>
      </c>
      <c r="L184" s="144">
        <v>10.8</v>
      </c>
      <c r="M184" s="144">
        <v>44.28</v>
      </c>
      <c r="N184" s="144">
        <v>16.56</v>
      </c>
      <c r="O184" s="144">
        <v>0.83</v>
      </c>
    </row>
    <row r="185" spans="1:15" ht="14.25">
      <c r="A185" s="29">
        <v>685</v>
      </c>
      <c r="B185" s="28" t="s">
        <v>20</v>
      </c>
      <c r="C185" s="30" t="s">
        <v>128</v>
      </c>
      <c r="D185" s="130">
        <f>0.2*150/180</f>
        <v>0.16666666666666666</v>
      </c>
      <c r="E185" s="130">
        <v>0</v>
      </c>
      <c r="F185" s="130">
        <f>15*150/180</f>
        <v>12.5</v>
      </c>
      <c r="G185" s="130">
        <f>58*150/180</f>
        <v>48.333333333333336</v>
      </c>
      <c r="H185" s="103">
        <v>0</v>
      </c>
      <c r="I185" s="103">
        <f>2.2*150/180</f>
        <v>1.8333333333333333</v>
      </c>
      <c r="J185" s="103">
        <v>0</v>
      </c>
      <c r="K185" s="103">
        <v>0</v>
      </c>
      <c r="L185" s="103">
        <f>87*150/180</f>
        <v>72.5</v>
      </c>
      <c r="M185" s="103">
        <f>68*150/180</f>
        <v>56.666666666666664</v>
      </c>
      <c r="N185" s="103">
        <f>14*150/180</f>
        <v>11.666666666666666</v>
      </c>
      <c r="O185" s="103">
        <f>0.8*150/180</f>
        <v>0.6666666666666666</v>
      </c>
    </row>
    <row r="186" spans="1:15" ht="15">
      <c r="A186" s="29"/>
      <c r="B186" s="28" t="s">
        <v>26</v>
      </c>
      <c r="C186" s="181" t="s">
        <v>96</v>
      </c>
      <c r="D186" s="124">
        <f>D182+D183+D184+D185</f>
        <v>10.120666666666667</v>
      </c>
      <c r="E186" s="166">
        <f>E182+E183+E184+E185</f>
        <v>10.282</v>
      </c>
      <c r="F186" s="166">
        <f>F182+F183+F184+F185</f>
        <v>40.67</v>
      </c>
      <c r="G186" s="166">
        <f>G182+G183+G184+G185</f>
        <v>290.73333333333335</v>
      </c>
      <c r="H186" s="62">
        <f aca="true" t="shared" si="25" ref="H186:O186">SUM(H182:H185)</f>
        <v>0.23783333333333334</v>
      </c>
      <c r="I186" s="62">
        <f t="shared" si="25"/>
        <v>2.598333333333333</v>
      </c>
      <c r="J186" s="62">
        <f t="shared" si="25"/>
        <v>45.39</v>
      </c>
      <c r="K186" s="62">
        <f t="shared" si="25"/>
        <v>0.9400000000000001</v>
      </c>
      <c r="L186" s="62">
        <f t="shared" si="25"/>
        <v>211.55</v>
      </c>
      <c r="M186" s="62">
        <f t="shared" si="25"/>
        <v>312.305</v>
      </c>
      <c r="N186" s="62">
        <f t="shared" si="25"/>
        <v>90.59333333333333</v>
      </c>
      <c r="O186" s="62">
        <f t="shared" si="25"/>
        <v>3.1566666666666667</v>
      </c>
    </row>
    <row r="187" spans="1:15" ht="14.25" customHeight="1">
      <c r="A187" s="204" t="s">
        <v>78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6"/>
    </row>
    <row r="188" spans="1:15" ht="14.25">
      <c r="A188" s="26">
        <v>389</v>
      </c>
      <c r="B188" s="27" t="s">
        <v>80</v>
      </c>
      <c r="C188" s="29">
        <v>150</v>
      </c>
      <c r="D188" s="169">
        <v>3.26</v>
      </c>
      <c r="E188" s="169"/>
      <c r="F188" s="169">
        <v>15.15</v>
      </c>
      <c r="G188" s="169">
        <v>63</v>
      </c>
      <c r="H188" s="169">
        <f>0.019*180/200</f>
        <v>0.0171</v>
      </c>
      <c r="I188" s="169">
        <f>3.8*180/200</f>
        <v>3.42</v>
      </c>
      <c r="J188" s="169">
        <f>0.16*180/200</f>
        <v>0.14400000000000002</v>
      </c>
      <c r="K188" s="169">
        <v>0</v>
      </c>
      <c r="L188" s="169">
        <f>13.3*180/200</f>
        <v>11.97</v>
      </c>
      <c r="M188" s="169">
        <v>0</v>
      </c>
      <c r="N188" s="169">
        <f>2.66*180/200</f>
        <v>2.394</v>
      </c>
      <c r="O188" s="169">
        <v>0</v>
      </c>
    </row>
    <row r="189" spans="1:15" ht="15">
      <c r="A189" s="17"/>
      <c r="B189" s="31" t="s">
        <v>26</v>
      </c>
      <c r="C189" s="40">
        <v>150</v>
      </c>
      <c r="D189" s="135">
        <f aca="true" t="shared" si="26" ref="D189:O189">SUM(D188)</f>
        <v>3.26</v>
      </c>
      <c r="E189" s="135">
        <f t="shared" si="26"/>
        <v>0</v>
      </c>
      <c r="F189" s="135">
        <f t="shared" si="26"/>
        <v>15.15</v>
      </c>
      <c r="G189" s="135">
        <f t="shared" si="26"/>
        <v>63</v>
      </c>
      <c r="H189" s="135">
        <f t="shared" si="26"/>
        <v>0.0171</v>
      </c>
      <c r="I189" s="135">
        <f t="shared" si="26"/>
        <v>3.42</v>
      </c>
      <c r="J189" s="135">
        <f t="shared" si="26"/>
        <v>0.14400000000000002</v>
      </c>
      <c r="K189" s="135">
        <f t="shared" si="26"/>
        <v>0</v>
      </c>
      <c r="L189" s="135">
        <f t="shared" si="26"/>
        <v>11.97</v>
      </c>
      <c r="M189" s="135">
        <f t="shared" si="26"/>
        <v>0</v>
      </c>
      <c r="N189" s="135">
        <f t="shared" si="26"/>
        <v>2.394</v>
      </c>
      <c r="O189" s="135">
        <f t="shared" si="26"/>
        <v>0</v>
      </c>
    </row>
    <row r="190" spans="1:15" ht="15">
      <c r="A190" s="7"/>
      <c r="B190" s="2"/>
      <c r="C190" s="7"/>
      <c r="D190" s="35" t="s">
        <v>22</v>
      </c>
      <c r="E190" s="35"/>
      <c r="F190" s="35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4.25">
      <c r="A191" s="29">
        <v>16</v>
      </c>
      <c r="B191" s="23" t="s">
        <v>81</v>
      </c>
      <c r="C191" s="126">
        <v>50</v>
      </c>
      <c r="D191" s="116">
        <v>0.4</v>
      </c>
      <c r="E191" s="116">
        <v>0.05</v>
      </c>
      <c r="F191" s="116">
        <v>1.4</v>
      </c>
      <c r="G191" s="116">
        <v>7.5</v>
      </c>
      <c r="H191" s="116">
        <f>46.6*40/60</f>
        <v>31.066666666666666</v>
      </c>
      <c r="I191" s="116">
        <f>0.1*40/60</f>
        <v>0.06666666666666667</v>
      </c>
      <c r="J191" s="117">
        <f>0.04*40/60</f>
        <v>0.02666666666666667</v>
      </c>
      <c r="K191" s="117">
        <v>0.34</v>
      </c>
      <c r="L191" s="117">
        <f>76.66*40/60</f>
        <v>51.10666666666666</v>
      </c>
      <c r="M191" s="117">
        <f>140*40/60</f>
        <v>93.33333333333333</v>
      </c>
      <c r="N191" s="117">
        <f>46.66*40/60</f>
        <v>31.106666666666666</v>
      </c>
      <c r="O191" s="117">
        <f>2*40/60</f>
        <v>1.3333333333333333</v>
      </c>
    </row>
    <row r="192" spans="1:15" ht="14.25">
      <c r="A192" s="29">
        <v>139</v>
      </c>
      <c r="B192" s="28" t="s">
        <v>23</v>
      </c>
      <c r="C192" s="29">
        <v>180</v>
      </c>
      <c r="D192" s="143">
        <v>3.75</v>
      </c>
      <c r="E192" s="143">
        <v>3.36</v>
      </c>
      <c r="F192" s="143">
        <v>13.38</v>
      </c>
      <c r="G192" s="143">
        <v>100.2</v>
      </c>
      <c r="H192" s="144">
        <f>0.12*150/200</f>
        <v>0.09</v>
      </c>
      <c r="I192" s="144">
        <f>7.6*150/200</f>
        <v>5.7</v>
      </c>
      <c r="J192" s="144">
        <f>0.01*150/200</f>
        <v>0.0075</v>
      </c>
      <c r="K192" s="144">
        <v>0</v>
      </c>
      <c r="L192" s="144">
        <f>560.2*150/200</f>
        <v>420.15</v>
      </c>
      <c r="M192" s="144">
        <f>123.8*150/200</f>
        <v>92.85</v>
      </c>
      <c r="N192" s="144">
        <f>37.3*150/200</f>
        <v>27.975</v>
      </c>
      <c r="O192" s="144">
        <f>1.8*150/200</f>
        <v>1.35</v>
      </c>
    </row>
    <row r="193" spans="1:15" ht="14.25">
      <c r="A193" s="105">
        <v>390</v>
      </c>
      <c r="B193" s="23" t="s">
        <v>60</v>
      </c>
      <c r="C193" s="106">
        <v>60</v>
      </c>
      <c r="D193" s="94">
        <v>8.95</v>
      </c>
      <c r="E193" s="94">
        <v>6.8</v>
      </c>
      <c r="F193" s="94">
        <v>7.75</v>
      </c>
      <c r="G193" s="94">
        <v>12.9</v>
      </c>
      <c r="H193" s="94">
        <f>0.07*60/80</f>
        <v>0.052500000000000005</v>
      </c>
      <c r="I193" s="94">
        <f>0.73*60/80</f>
        <v>0.5475</v>
      </c>
      <c r="J193" s="95">
        <f>40*60/80</f>
        <v>30</v>
      </c>
      <c r="K193" s="95">
        <f>17*60/80</f>
        <v>12.75</v>
      </c>
      <c r="L193" s="95">
        <f>84.1*60/80</f>
        <v>63.075</v>
      </c>
      <c r="M193" s="95">
        <f>121.7*60/80</f>
        <v>91.275</v>
      </c>
      <c r="N193" s="95">
        <f>32.2*60/80</f>
        <v>24.150000000000002</v>
      </c>
      <c r="O193" s="95">
        <f>0.64*60/80</f>
        <v>0.48</v>
      </c>
    </row>
    <row r="194" spans="1:15" ht="15.75">
      <c r="A194" s="191">
        <v>513</v>
      </c>
      <c r="B194" s="190" t="s">
        <v>121</v>
      </c>
      <c r="C194" s="187">
        <v>130</v>
      </c>
      <c r="D194" s="188">
        <v>4.8</v>
      </c>
      <c r="E194" s="189">
        <v>4.8</v>
      </c>
      <c r="F194" s="189">
        <v>47.28</v>
      </c>
      <c r="G194" s="187">
        <v>252.96</v>
      </c>
      <c r="H194" s="144">
        <f>0.18*120/150</f>
        <v>0.144</v>
      </c>
      <c r="I194" s="144">
        <f>17.5*120/150</f>
        <v>14</v>
      </c>
      <c r="J194" s="144">
        <f>46.7*120/150</f>
        <v>37.36</v>
      </c>
      <c r="K194" s="144">
        <f>1.11*120/150</f>
        <v>0.8880000000000001</v>
      </c>
      <c r="L194" s="144">
        <f>40.19*120/150</f>
        <v>32.151999999999994</v>
      </c>
      <c r="M194" s="144">
        <f>94.91*120/150</f>
        <v>75.928</v>
      </c>
      <c r="N194" s="144">
        <f>32.69*120/150</f>
        <v>26.151999999999997</v>
      </c>
      <c r="O194" s="144">
        <f>1.19*120/150</f>
        <v>0.9519999999999998</v>
      </c>
    </row>
    <row r="195" spans="1:15" ht="14.25">
      <c r="A195" s="29">
        <v>639</v>
      </c>
      <c r="B195" s="28" t="s">
        <v>32</v>
      </c>
      <c r="C195" s="29">
        <v>180</v>
      </c>
      <c r="D195" s="145">
        <f>0.097*150/180</f>
        <v>0.08083333333333334</v>
      </c>
      <c r="E195" s="145">
        <f>0.039*150/180</f>
        <v>0.0325</v>
      </c>
      <c r="F195" s="145">
        <f>21.512*150/180</f>
        <v>17.92666666666667</v>
      </c>
      <c r="G195" s="145">
        <f>86.785*150/180</f>
        <v>72.32083333333334</v>
      </c>
      <c r="H195" s="145">
        <f>0.002*150/180</f>
        <v>0.0016666666666666666</v>
      </c>
      <c r="I195" s="145">
        <f>0.058*150/180</f>
        <v>0.04833333333333334</v>
      </c>
      <c r="J195" s="145">
        <f>1.358*150/180</f>
        <v>1.1316666666666668</v>
      </c>
      <c r="K195" s="145">
        <f>0.058*150/180</f>
        <v>0.04833333333333334</v>
      </c>
      <c r="L195" s="145">
        <f>7.584*150/180</f>
        <v>6.319999999999999</v>
      </c>
      <c r="M195" s="145">
        <f>4.462*150/180</f>
        <v>3.7183333333333333</v>
      </c>
      <c r="N195" s="145">
        <f>1.746*150/180</f>
        <v>1.4549999999999998</v>
      </c>
      <c r="O195" s="145">
        <f>0.157*150/180</f>
        <v>0.13083333333333333</v>
      </c>
    </row>
    <row r="196" spans="1:15" ht="14.25">
      <c r="A196" s="26" t="s">
        <v>110</v>
      </c>
      <c r="B196" s="27" t="s">
        <v>112</v>
      </c>
      <c r="C196" s="29">
        <v>20</v>
      </c>
      <c r="D196" s="145">
        <v>1.34</v>
      </c>
      <c r="E196" s="145">
        <v>0.27</v>
      </c>
      <c r="F196" s="145">
        <v>8.07</v>
      </c>
      <c r="G196" s="145">
        <v>43.34</v>
      </c>
      <c r="H196" s="145">
        <v>0.05</v>
      </c>
      <c r="I196" s="145">
        <v>0</v>
      </c>
      <c r="J196" s="145">
        <v>0</v>
      </c>
      <c r="K196" s="145">
        <v>0.45</v>
      </c>
      <c r="L196" s="145">
        <v>7.5</v>
      </c>
      <c r="M196" s="145">
        <v>24.68</v>
      </c>
      <c r="N196" s="145">
        <v>5.32</v>
      </c>
      <c r="O196" s="145">
        <v>0.45</v>
      </c>
    </row>
    <row r="197" spans="1:16" ht="14.25">
      <c r="A197" s="26"/>
      <c r="B197" s="27" t="s">
        <v>21</v>
      </c>
      <c r="C197" s="114">
        <v>20</v>
      </c>
      <c r="D197" s="143">
        <f>2.02*20/30</f>
        <v>1.3466666666666667</v>
      </c>
      <c r="E197" s="143">
        <f>0.4*20/30</f>
        <v>0.26666666666666666</v>
      </c>
      <c r="F197" s="143">
        <f>12.1*20/30</f>
        <v>8.066666666666666</v>
      </c>
      <c r="G197" s="143">
        <f>65*20/30</f>
        <v>43.333333333333336</v>
      </c>
      <c r="H197" s="144">
        <f>0.05*20/30</f>
        <v>0.03333333333333333</v>
      </c>
      <c r="I197" s="144">
        <v>0</v>
      </c>
      <c r="J197" s="144">
        <v>0</v>
      </c>
      <c r="K197" s="144">
        <f>0.45*20/30</f>
        <v>0.3</v>
      </c>
      <c r="L197" s="144">
        <f>7.5*20/30</f>
        <v>5</v>
      </c>
      <c r="M197" s="144">
        <f>24.68*20/30</f>
        <v>16.453333333333333</v>
      </c>
      <c r="N197" s="144">
        <f>5.32*20/30</f>
        <v>3.546666666666667</v>
      </c>
      <c r="O197" s="144">
        <f>0.45*20/30</f>
        <v>0.3</v>
      </c>
      <c r="P197" s="98"/>
    </row>
    <row r="198" spans="1:15" ht="15">
      <c r="A198" s="29"/>
      <c r="B198" s="28" t="s">
        <v>26</v>
      </c>
      <c r="C198" s="181" t="s">
        <v>97</v>
      </c>
      <c r="D198" s="124">
        <f aca="true" t="shared" si="27" ref="D198:O198">SUM(D191:D197)</f>
        <v>20.6675</v>
      </c>
      <c r="E198" s="124">
        <f t="shared" si="27"/>
        <v>15.579166666666666</v>
      </c>
      <c r="F198" s="124">
        <f t="shared" si="27"/>
        <v>103.87333333333333</v>
      </c>
      <c r="G198" s="124">
        <f t="shared" si="27"/>
        <v>532.5541666666667</v>
      </c>
      <c r="H198" s="124">
        <f t="shared" si="27"/>
        <v>31.438166666666664</v>
      </c>
      <c r="I198" s="124">
        <f t="shared" si="27"/>
        <v>20.362499999999997</v>
      </c>
      <c r="J198" s="124">
        <f t="shared" si="27"/>
        <v>68.52583333333332</v>
      </c>
      <c r="K198" s="124">
        <f t="shared" si="27"/>
        <v>14.776333333333334</v>
      </c>
      <c r="L198" s="124">
        <f t="shared" si="27"/>
        <v>585.3036666666668</v>
      </c>
      <c r="M198" s="124">
        <f t="shared" si="27"/>
        <v>398.238</v>
      </c>
      <c r="N198" s="124">
        <f t="shared" si="27"/>
        <v>119.70533333333334</v>
      </c>
      <c r="O198" s="124">
        <f t="shared" si="27"/>
        <v>4.996166666666666</v>
      </c>
    </row>
    <row r="199" spans="1:15" ht="15" customHeight="1">
      <c r="A199" s="194" t="s">
        <v>114</v>
      </c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6"/>
    </row>
    <row r="200" spans="1:15" ht="14.25">
      <c r="A200" s="29"/>
      <c r="B200" s="28"/>
      <c r="C200" s="30"/>
      <c r="D200" s="131"/>
      <c r="E200" s="131"/>
      <c r="F200" s="131"/>
      <c r="G200" s="131"/>
      <c r="H200" s="132"/>
      <c r="I200" s="132"/>
      <c r="J200" s="132"/>
      <c r="K200" s="132"/>
      <c r="L200" s="132"/>
      <c r="M200" s="132"/>
      <c r="N200" s="132"/>
      <c r="O200" s="132"/>
    </row>
    <row r="201" spans="1:15" ht="14.25">
      <c r="A201" s="29"/>
      <c r="B201" s="28"/>
      <c r="C201" s="30"/>
      <c r="D201" s="130"/>
      <c r="E201" s="130"/>
      <c r="F201" s="130"/>
      <c r="G201" s="130"/>
      <c r="H201" s="103"/>
      <c r="I201" s="103"/>
      <c r="J201" s="103"/>
      <c r="K201" s="103"/>
      <c r="L201" s="103"/>
      <c r="M201" s="103"/>
      <c r="N201" s="103"/>
      <c r="O201" s="103"/>
    </row>
    <row r="202" spans="1:15" ht="14.25">
      <c r="A202" s="17" t="s">
        <v>111</v>
      </c>
      <c r="B202" s="31" t="s">
        <v>72</v>
      </c>
      <c r="C202" s="17">
        <v>50</v>
      </c>
      <c r="D202" s="150">
        <f>5.8*30/40</f>
        <v>4.35</v>
      </c>
      <c r="E202" s="150">
        <f>22.6*30/40</f>
        <v>16.95</v>
      </c>
      <c r="F202" s="150">
        <f>20.8*30/40</f>
        <v>15.6</v>
      </c>
      <c r="G202" s="150">
        <f>156*30/40</f>
        <v>117</v>
      </c>
      <c r="H202" s="150">
        <v>0</v>
      </c>
      <c r="I202" s="150">
        <f>2.2*30/40</f>
        <v>1.65</v>
      </c>
      <c r="J202" s="151">
        <v>0</v>
      </c>
      <c r="K202" s="151">
        <v>0</v>
      </c>
      <c r="L202" s="151">
        <f>16*30/40</f>
        <v>12</v>
      </c>
      <c r="M202" s="151">
        <f>8*30/40</f>
        <v>6</v>
      </c>
      <c r="N202" s="151">
        <f>6*30/40</f>
        <v>4.5</v>
      </c>
      <c r="O202" s="151">
        <f>0.8*30/40</f>
        <v>0.6</v>
      </c>
    </row>
    <row r="203" spans="1:15" ht="14.25">
      <c r="A203" s="29">
        <v>685</v>
      </c>
      <c r="B203" s="28" t="s">
        <v>20</v>
      </c>
      <c r="C203" s="30" t="s">
        <v>70</v>
      </c>
      <c r="D203" s="130">
        <f>0.2*150/180</f>
        <v>0.16666666666666666</v>
      </c>
      <c r="E203" s="130">
        <v>0</v>
      </c>
      <c r="F203" s="130">
        <f>15*150/180</f>
        <v>12.5</v>
      </c>
      <c r="G203" s="130">
        <f>58*150/180</f>
        <v>48.333333333333336</v>
      </c>
      <c r="H203" s="103">
        <v>0</v>
      </c>
      <c r="I203" s="103">
        <f>2.2*150/180</f>
        <v>1.8333333333333333</v>
      </c>
      <c r="J203" s="103">
        <v>0</v>
      </c>
      <c r="K203" s="103">
        <v>0</v>
      </c>
      <c r="L203" s="103">
        <f>87*150/180</f>
        <v>72.5</v>
      </c>
      <c r="M203" s="103">
        <f>68*150/180</f>
        <v>56.666666666666664</v>
      </c>
      <c r="N203" s="103">
        <f>14*150/180</f>
        <v>11.666666666666666</v>
      </c>
      <c r="O203" s="103">
        <f>0.8*150/180</f>
        <v>0.6666666666666666</v>
      </c>
    </row>
    <row r="204" spans="1:15" ht="15">
      <c r="A204" s="29"/>
      <c r="B204" s="28" t="s">
        <v>26</v>
      </c>
      <c r="C204" s="181" t="s">
        <v>118</v>
      </c>
      <c r="D204" s="166">
        <f>D200+D201+D203</f>
        <v>0.16666666666666666</v>
      </c>
      <c r="E204" s="166">
        <f>E200+E201+E203</f>
        <v>0</v>
      </c>
      <c r="F204" s="166">
        <f>F200+F201+F203</f>
        <v>12.5</v>
      </c>
      <c r="G204" s="166">
        <f>G200+G201+G203</f>
        <v>48.333333333333336</v>
      </c>
      <c r="H204" s="62">
        <f aca="true" t="shared" si="28" ref="H204:O204">SUM(H200:H203)</f>
        <v>0</v>
      </c>
      <c r="I204" s="62">
        <f t="shared" si="28"/>
        <v>3.4833333333333334</v>
      </c>
      <c r="J204" s="62">
        <f t="shared" si="28"/>
        <v>0</v>
      </c>
      <c r="K204" s="62">
        <f t="shared" si="28"/>
        <v>0</v>
      </c>
      <c r="L204" s="62">
        <f t="shared" si="28"/>
        <v>84.5</v>
      </c>
      <c r="M204" s="62">
        <f t="shared" si="28"/>
        <v>62.666666666666664</v>
      </c>
      <c r="N204" s="62">
        <f t="shared" si="28"/>
        <v>16.166666666666664</v>
      </c>
      <c r="O204" s="62">
        <f t="shared" si="28"/>
        <v>1.2666666666666666</v>
      </c>
    </row>
    <row r="205" spans="1:15" ht="15">
      <c r="A205" s="17"/>
      <c r="B205" s="22" t="s">
        <v>27</v>
      </c>
      <c r="C205" s="17"/>
      <c r="D205" s="32">
        <f>D186+D198+D204+D189</f>
        <v>34.21483333333334</v>
      </c>
      <c r="E205" s="32">
        <f aca="true" t="shared" si="29" ref="E205:O205">E186+E198+E204+E189</f>
        <v>25.861166666666666</v>
      </c>
      <c r="F205" s="32">
        <f t="shared" si="29"/>
        <v>172.19333333333336</v>
      </c>
      <c r="G205" s="32">
        <f t="shared" si="29"/>
        <v>934.6208333333334</v>
      </c>
      <c r="H205" s="32">
        <f t="shared" si="29"/>
        <v>31.693099999999998</v>
      </c>
      <c r="I205" s="32">
        <f t="shared" si="29"/>
        <v>29.864166666666662</v>
      </c>
      <c r="J205" s="32">
        <f t="shared" si="29"/>
        <v>114.05983333333333</v>
      </c>
      <c r="K205" s="32">
        <f t="shared" si="29"/>
        <v>15.716333333333333</v>
      </c>
      <c r="L205" s="32">
        <f t="shared" si="29"/>
        <v>893.3236666666669</v>
      </c>
      <c r="M205" s="32">
        <f t="shared" si="29"/>
        <v>773.2096666666666</v>
      </c>
      <c r="N205" s="32">
        <f t="shared" si="29"/>
        <v>228.85933333333335</v>
      </c>
      <c r="O205" s="32">
        <f t="shared" si="29"/>
        <v>9.4195</v>
      </c>
    </row>
    <row r="206" spans="1:15" ht="15">
      <c r="A206" s="7"/>
      <c r="B206" s="186" t="s">
        <v>117</v>
      </c>
      <c r="C206" s="7"/>
      <c r="D206" s="3">
        <v>29.4</v>
      </c>
      <c r="E206" s="3">
        <v>32.9</v>
      </c>
      <c r="F206" s="3">
        <v>142.1</v>
      </c>
      <c r="G206" s="3">
        <v>980</v>
      </c>
      <c r="H206" s="35"/>
      <c r="I206" s="35"/>
      <c r="J206" s="35"/>
      <c r="K206" s="35"/>
      <c r="L206" s="35"/>
      <c r="M206" s="35"/>
      <c r="N206" s="35"/>
      <c r="O206" s="35"/>
    </row>
    <row r="207" spans="1:15" ht="15">
      <c r="A207" s="7"/>
      <c r="B207" s="59"/>
      <c r="C207" s="7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5">
      <c r="A208" s="7"/>
      <c r="B208" s="59"/>
      <c r="C208" s="7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</row>
    <row r="209" spans="1:15" ht="15">
      <c r="A209" s="7"/>
      <c r="B209" s="59"/>
      <c r="C209" s="7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1:16" ht="15" customHeight="1">
      <c r="A210" s="7"/>
      <c r="B210" s="59"/>
      <c r="C210" s="7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8"/>
    </row>
    <row r="211" spans="1:15" ht="68.25" customHeight="1">
      <c r="A211" s="7"/>
      <c r="B211" s="59"/>
      <c r="C211" s="7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</row>
    <row r="212" spans="1:15" ht="87" customHeight="1">
      <c r="A212" s="200" t="s">
        <v>129</v>
      </c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</row>
    <row r="213" spans="1:15" ht="15">
      <c r="A213" s="7"/>
      <c r="B213" s="2"/>
      <c r="C213" s="58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1:15" ht="14.25">
      <c r="A214" s="109" t="s">
        <v>0</v>
      </c>
      <c r="B214" s="67" t="s">
        <v>1</v>
      </c>
      <c r="C214" s="44" t="s">
        <v>2</v>
      </c>
      <c r="D214" s="201" t="s">
        <v>3</v>
      </c>
      <c r="E214" s="202"/>
      <c r="F214" s="203"/>
      <c r="G214" s="44" t="s">
        <v>4</v>
      </c>
      <c r="H214" s="45" t="s">
        <v>5</v>
      </c>
      <c r="I214" s="46"/>
      <c r="J214" s="46"/>
      <c r="K214" s="47"/>
      <c r="L214" s="201" t="s">
        <v>6</v>
      </c>
      <c r="M214" s="202"/>
      <c r="N214" s="202"/>
      <c r="O214" s="205"/>
    </row>
    <row r="215" spans="1:15" ht="18.75">
      <c r="A215" s="77" t="s">
        <v>7</v>
      </c>
      <c r="B215" s="78"/>
      <c r="C215" s="79"/>
      <c r="D215" s="79" t="s">
        <v>8</v>
      </c>
      <c r="E215" s="79" t="s">
        <v>9</v>
      </c>
      <c r="F215" s="79" t="s">
        <v>10</v>
      </c>
      <c r="G215" s="79" t="s">
        <v>11</v>
      </c>
      <c r="H215" s="73" t="s">
        <v>55</v>
      </c>
      <c r="I215" s="73" t="s">
        <v>12</v>
      </c>
      <c r="J215" s="73" t="s">
        <v>13</v>
      </c>
      <c r="K215" s="73" t="s">
        <v>14</v>
      </c>
      <c r="L215" s="74" t="s">
        <v>15</v>
      </c>
      <c r="M215" s="74" t="s">
        <v>16</v>
      </c>
      <c r="N215" s="74" t="s">
        <v>17</v>
      </c>
      <c r="O215" s="75" t="s">
        <v>18</v>
      </c>
    </row>
    <row r="216" spans="1:15" ht="14.25">
      <c r="A216" s="77">
        <v>1</v>
      </c>
      <c r="B216" s="80">
        <v>2</v>
      </c>
      <c r="C216" s="81">
        <v>3</v>
      </c>
      <c r="D216" s="80">
        <v>4</v>
      </c>
      <c r="E216" s="80">
        <v>5</v>
      </c>
      <c r="F216" s="80">
        <v>6</v>
      </c>
      <c r="G216" s="80">
        <v>7</v>
      </c>
      <c r="H216" s="79">
        <v>8</v>
      </c>
      <c r="I216" s="79">
        <v>9</v>
      </c>
      <c r="J216" s="79">
        <v>10</v>
      </c>
      <c r="K216" s="79">
        <v>11</v>
      </c>
      <c r="L216" s="82">
        <v>12</v>
      </c>
      <c r="M216" s="82">
        <v>13</v>
      </c>
      <c r="N216" s="82">
        <v>14</v>
      </c>
      <c r="O216" s="83">
        <v>15</v>
      </c>
    </row>
    <row r="217" spans="1:15" ht="15">
      <c r="A217" s="20"/>
      <c r="B217" s="18"/>
      <c r="C217" s="19"/>
      <c r="D217" s="19"/>
      <c r="E217" s="19"/>
      <c r="F217" s="19"/>
      <c r="G217" s="19"/>
      <c r="H217" s="20"/>
      <c r="I217" s="20"/>
      <c r="J217" s="20"/>
      <c r="K217" s="20"/>
      <c r="L217" s="20"/>
      <c r="M217" s="20"/>
      <c r="N217" s="20"/>
      <c r="O217" s="20"/>
    </row>
    <row r="218" spans="1:15" ht="15">
      <c r="A218" s="20"/>
      <c r="B218" s="21" t="s">
        <v>41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ht="15">
      <c r="A219" s="122" t="s">
        <v>19</v>
      </c>
      <c r="B219" s="122"/>
      <c r="C219" s="20"/>
      <c r="D219" s="197" t="s">
        <v>24</v>
      </c>
      <c r="E219" s="197"/>
      <c r="F219" s="19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29.25" customHeight="1">
      <c r="A220" s="199" t="s">
        <v>51</v>
      </c>
      <c r="B220" s="19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ht="14.25">
      <c r="A221" s="17">
        <v>161</v>
      </c>
      <c r="B221" s="23" t="s">
        <v>69</v>
      </c>
      <c r="C221" s="52">
        <v>170</v>
      </c>
      <c r="D221" s="52">
        <v>7.54</v>
      </c>
      <c r="E221" s="52">
        <v>7.76</v>
      </c>
      <c r="F221" s="52">
        <v>30.15</v>
      </c>
      <c r="G221" s="52">
        <v>221</v>
      </c>
      <c r="H221" s="15">
        <v>0.17</v>
      </c>
      <c r="I221" s="15">
        <v>0.9</v>
      </c>
      <c r="J221" s="15">
        <v>53.4</v>
      </c>
      <c r="K221" s="15">
        <v>0.7</v>
      </c>
      <c r="L221" s="15">
        <v>145.01</v>
      </c>
      <c r="M221" s="15">
        <v>229.3</v>
      </c>
      <c r="N221" s="11">
        <v>69.2</v>
      </c>
      <c r="O221" s="17">
        <v>1.6</v>
      </c>
    </row>
    <row r="222" spans="1:15" ht="14.25">
      <c r="A222" s="29">
        <v>686</v>
      </c>
      <c r="B222" s="23" t="s">
        <v>66</v>
      </c>
      <c r="C222" s="29">
        <v>180</v>
      </c>
      <c r="D222" s="130">
        <f>0.2*150/180</f>
        <v>0.16666666666666666</v>
      </c>
      <c r="E222" s="130">
        <v>0</v>
      </c>
      <c r="F222" s="130">
        <f>15*150/180</f>
        <v>12.5</v>
      </c>
      <c r="G222" s="130">
        <f>58*150/180</f>
        <v>48.333333333333336</v>
      </c>
      <c r="H222" s="103">
        <v>0</v>
      </c>
      <c r="I222" s="103">
        <f>2.2*150/180</f>
        <v>1.8333333333333333</v>
      </c>
      <c r="J222" s="103">
        <v>0</v>
      </c>
      <c r="K222" s="103">
        <v>0</v>
      </c>
      <c r="L222" s="103">
        <f>87*150/180</f>
        <v>72.5</v>
      </c>
      <c r="M222" s="103">
        <f>68*150/180</f>
        <v>56.666666666666664</v>
      </c>
      <c r="N222" s="103">
        <f>14*150/180</f>
        <v>11.666666666666666</v>
      </c>
      <c r="O222" s="103">
        <f>0.8*150/180</f>
        <v>0.6666666666666666</v>
      </c>
    </row>
    <row r="223" spans="1:15" ht="14.25">
      <c r="A223" s="26" t="s">
        <v>111</v>
      </c>
      <c r="B223" s="27" t="s">
        <v>104</v>
      </c>
      <c r="C223" s="114">
        <v>30</v>
      </c>
      <c r="D223" s="143">
        <v>2.25</v>
      </c>
      <c r="E223" s="143">
        <v>0.87</v>
      </c>
      <c r="F223" s="143">
        <v>15.27</v>
      </c>
      <c r="G223" s="143">
        <v>79.2</v>
      </c>
      <c r="H223" s="144">
        <f>0.05*20/30</f>
        <v>0.03333333333333333</v>
      </c>
      <c r="I223" s="144">
        <v>0</v>
      </c>
      <c r="J223" s="144">
        <v>0</v>
      </c>
      <c r="K223" s="144">
        <f>0.45*20/30</f>
        <v>0.3</v>
      </c>
      <c r="L223" s="144">
        <f>7.5*20/30</f>
        <v>5</v>
      </c>
      <c r="M223" s="144">
        <f>24.68*20/30</f>
        <v>16.453333333333333</v>
      </c>
      <c r="N223" s="144">
        <f>5.32*20/30</f>
        <v>3.546666666666667</v>
      </c>
      <c r="O223" s="144">
        <f>0.45*20/30</f>
        <v>0.3</v>
      </c>
    </row>
    <row r="224" spans="1:15" ht="15">
      <c r="A224" s="17"/>
      <c r="B224" s="31" t="s">
        <v>26</v>
      </c>
      <c r="C224" s="40">
        <f>C221+C222+C223</f>
        <v>380</v>
      </c>
      <c r="D224" s="40">
        <f aca="true" t="shared" si="30" ref="D224:O224">SUM(D221:D223)</f>
        <v>9.956666666666667</v>
      </c>
      <c r="E224" s="40">
        <f t="shared" si="30"/>
        <v>8.629999999999999</v>
      </c>
      <c r="F224" s="40">
        <f t="shared" si="30"/>
        <v>57.92</v>
      </c>
      <c r="G224" s="135">
        <f>G221+G222+G223</f>
        <v>348.5333333333333</v>
      </c>
      <c r="H224" s="40">
        <f t="shared" si="30"/>
        <v>0.20333333333333334</v>
      </c>
      <c r="I224" s="40">
        <f t="shared" si="30"/>
        <v>2.7333333333333334</v>
      </c>
      <c r="J224" s="40">
        <f t="shared" si="30"/>
        <v>53.4</v>
      </c>
      <c r="K224" s="40">
        <f t="shared" si="30"/>
        <v>1</v>
      </c>
      <c r="L224" s="40">
        <f t="shared" si="30"/>
        <v>222.51</v>
      </c>
      <c r="M224" s="40">
        <f t="shared" si="30"/>
        <v>302.42</v>
      </c>
      <c r="N224" s="40">
        <f t="shared" si="30"/>
        <v>84.41333333333334</v>
      </c>
      <c r="O224" s="40">
        <f t="shared" si="30"/>
        <v>2.5666666666666664</v>
      </c>
    </row>
    <row r="225" spans="1:15" ht="15" customHeight="1">
      <c r="A225" s="204" t="s">
        <v>78</v>
      </c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6"/>
    </row>
    <row r="226" spans="1:15" ht="14.25">
      <c r="A226" s="26" t="s">
        <v>111</v>
      </c>
      <c r="B226" s="27" t="s">
        <v>119</v>
      </c>
      <c r="C226" s="29">
        <v>100</v>
      </c>
      <c r="D226" s="169">
        <v>4.35</v>
      </c>
      <c r="E226" s="169">
        <v>4.8</v>
      </c>
      <c r="F226" s="169">
        <v>6</v>
      </c>
      <c r="G226" s="169">
        <v>75</v>
      </c>
      <c r="H226" s="169">
        <v>0.15</v>
      </c>
      <c r="I226" s="169">
        <v>1.05</v>
      </c>
      <c r="J226" s="169">
        <v>0</v>
      </c>
      <c r="K226" s="169">
        <v>0</v>
      </c>
      <c r="L226" s="169">
        <v>180</v>
      </c>
      <c r="M226" s="169">
        <v>142.5</v>
      </c>
      <c r="N226" s="169">
        <v>21</v>
      </c>
      <c r="O226" s="169">
        <v>0.15</v>
      </c>
    </row>
    <row r="227" spans="1:15" ht="15">
      <c r="A227" s="17"/>
      <c r="B227" s="31" t="s">
        <v>26</v>
      </c>
      <c r="C227" s="62">
        <v>100</v>
      </c>
      <c r="D227" s="135">
        <f aca="true" t="shared" si="31" ref="D227:O227">SUM(D226)</f>
        <v>4.35</v>
      </c>
      <c r="E227" s="135">
        <f t="shared" si="31"/>
        <v>4.8</v>
      </c>
      <c r="F227" s="135">
        <f t="shared" si="31"/>
        <v>6</v>
      </c>
      <c r="G227" s="135">
        <f t="shared" si="31"/>
        <v>75</v>
      </c>
      <c r="H227" s="135">
        <f t="shared" si="31"/>
        <v>0.15</v>
      </c>
      <c r="I227" s="135">
        <f t="shared" si="31"/>
        <v>1.05</v>
      </c>
      <c r="J227" s="135">
        <f t="shared" si="31"/>
        <v>0</v>
      </c>
      <c r="K227" s="135">
        <f t="shared" si="31"/>
        <v>0</v>
      </c>
      <c r="L227" s="135">
        <f t="shared" si="31"/>
        <v>180</v>
      </c>
      <c r="M227" s="135">
        <f t="shared" si="31"/>
        <v>142.5</v>
      </c>
      <c r="N227" s="135">
        <f t="shared" si="31"/>
        <v>21</v>
      </c>
      <c r="O227" s="135">
        <f t="shared" si="31"/>
        <v>0.15</v>
      </c>
    </row>
    <row r="228" spans="1:15" ht="15">
      <c r="A228" s="7"/>
      <c r="B228" s="2"/>
      <c r="C228" s="7"/>
      <c r="D228" s="35" t="s">
        <v>22</v>
      </c>
      <c r="E228" s="35"/>
      <c r="F228" s="35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4.25">
      <c r="A229" s="29">
        <v>70</v>
      </c>
      <c r="B229" s="23" t="s">
        <v>57</v>
      </c>
      <c r="C229" s="52">
        <v>50</v>
      </c>
      <c r="D229" s="116">
        <v>0.8</v>
      </c>
      <c r="E229" s="116">
        <v>0.1</v>
      </c>
      <c r="F229" s="116">
        <v>1.7</v>
      </c>
      <c r="G229" s="116">
        <v>13</v>
      </c>
      <c r="H229" s="116">
        <f>46.6*40/60</f>
        <v>31.066666666666666</v>
      </c>
      <c r="I229" s="116">
        <f>0.1*40/60</f>
        <v>0.06666666666666667</v>
      </c>
      <c r="J229" s="117">
        <f>0.04*40/60</f>
        <v>0.02666666666666667</v>
      </c>
      <c r="K229" s="117">
        <v>0.34</v>
      </c>
      <c r="L229" s="117">
        <f>76.66*40/60</f>
        <v>51.10666666666666</v>
      </c>
      <c r="M229" s="117">
        <f>140*40/60</f>
        <v>93.33333333333333</v>
      </c>
      <c r="N229" s="117">
        <f>46.66*40/60</f>
        <v>31.106666666666666</v>
      </c>
      <c r="O229" s="117">
        <f>2*40/60</f>
        <v>1.3333333333333333</v>
      </c>
    </row>
    <row r="230" spans="1:15" ht="14.25">
      <c r="A230" s="26">
        <v>124</v>
      </c>
      <c r="B230" s="53" t="s">
        <v>45</v>
      </c>
      <c r="C230" s="54" t="s">
        <v>125</v>
      </c>
      <c r="D230" s="146">
        <f>2.7*150/200</f>
        <v>2.025</v>
      </c>
      <c r="E230" s="146">
        <f>7.8*150/200</f>
        <v>5.85</v>
      </c>
      <c r="F230" s="146">
        <f>12.5*150/200</f>
        <v>9.375</v>
      </c>
      <c r="G230" s="146">
        <f>125*150/200</f>
        <v>93.75</v>
      </c>
      <c r="H230" s="157">
        <v>0.07</v>
      </c>
      <c r="I230" s="157">
        <v>14.41</v>
      </c>
      <c r="J230" s="157">
        <v>0.01</v>
      </c>
      <c r="K230" s="157">
        <v>0</v>
      </c>
      <c r="L230" s="157">
        <v>9.8</v>
      </c>
      <c r="M230" s="157">
        <v>53</v>
      </c>
      <c r="N230" s="157">
        <v>19.9</v>
      </c>
      <c r="O230" s="158">
        <v>0.93</v>
      </c>
    </row>
    <row r="231" spans="1:15" ht="14.25">
      <c r="A231" s="29">
        <v>436</v>
      </c>
      <c r="B231" s="28" t="s">
        <v>31</v>
      </c>
      <c r="C231" s="97" t="s">
        <v>52</v>
      </c>
      <c r="D231" s="130">
        <v>12.1</v>
      </c>
      <c r="E231" s="130">
        <v>11.8</v>
      </c>
      <c r="F231" s="130">
        <v>10.25</v>
      </c>
      <c r="G231" s="130">
        <v>196</v>
      </c>
      <c r="H231" s="103">
        <v>0.36</v>
      </c>
      <c r="I231" s="103">
        <v>40.68</v>
      </c>
      <c r="J231" s="103">
        <v>0.288</v>
      </c>
      <c r="K231" s="103">
        <v>0.68</v>
      </c>
      <c r="L231" s="103">
        <v>52.92</v>
      </c>
      <c r="M231" s="103">
        <v>417.6</v>
      </c>
      <c r="N231" s="103">
        <v>81.7</v>
      </c>
      <c r="O231" s="103">
        <v>5.07</v>
      </c>
    </row>
    <row r="232" spans="1:15" ht="14.25">
      <c r="A232" s="29">
        <v>699</v>
      </c>
      <c r="B232" s="28" t="s">
        <v>56</v>
      </c>
      <c r="C232" s="29">
        <v>180</v>
      </c>
      <c r="D232" s="130">
        <v>0.18</v>
      </c>
      <c r="E232" s="130">
        <v>0.18</v>
      </c>
      <c r="F232" s="130">
        <v>28.362</v>
      </c>
      <c r="G232" s="130">
        <v>116.91</v>
      </c>
      <c r="H232" s="103">
        <v>0.002</v>
      </c>
      <c r="I232" s="103">
        <v>0.058</v>
      </c>
      <c r="J232" s="103">
        <v>1.358</v>
      </c>
      <c r="K232" s="103">
        <v>0.058</v>
      </c>
      <c r="L232" s="103">
        <v>7.584</v>
      </c>
      <c r="M232" s="103">
        <v>4.462</v>
      </c>
      <c r="N232" s="103">
        <v>1.746</v>
      </c>
      <c r="O232" s="103">
        <v>0.157</v>
      </c>
    </row>
    <row r="233" spans="1:15" ht="14.25">
      <c r="A233" s="26" t="s">
        <v>110</v>
      </c>
      <c r="B233" s="27" t="s">
        <v>112</v>
      </c>
      <c r="C233" s="29">
        <v>20</v>
      </c>
      <c r="D233" s="145">
        <v>1.34</v>
      </c>
      <c r="E233" s="145">
        <v>0.27</v>
      </c>
      <c r="F233" s="145">
        <v>8.07</v>
      </c>
      <c r="G233" s="145">
        <v>43.34</v>
      </c>
      <c r="H233" s="145">
        <v>0.05</v>
      </c>
      <c r="I233" s="145">
        <v>0</v>
      </c>
      <c r="J233" s="145">
        <v>0</v>
      </c>
      <c r="K233" s="145">
        <v>0.45</v>
      </c>
      <c r="L233" s="145">
        <v>7.5</v>
      </c>
      <c r="M233" s="145">
        <v>24.68</v>
      </c>
      <c r="N233" s="145">
        <v>5.32</v>
      </c>
      <c r="O233" s="145">
        <v>0.45</v>
      </c>
    </row>
    <row r="234" spans="1:16" ht="14.25">
      <c r="A234" s="26"/>
      <c r="B234" s="27" t="s">
        <v>21</v>
      </c>
      <c r="C234" s="114">
        <v>20</v>
      </c>
      <c r="D234" s="143">
        <f>2.02*20/30</f>
        <v>1.3466666666666667</v>
      </c>
      <c r="E234" s="143">
        <f>0.4*20/30</f>
        <v>0.26666666666666666</v>
      </c>
      <c r="F234" s="143">
        <f>12.1*20/30</f>
        <v>8.066666666666666</v>
      </c>
      <c r="G234" s="143">
        <f>65*20/30</f>
        <v>43.333333333333336</v>
      </c>
      <c r="H234" s="144">
        <f>0.05*20/30</f>
        <v>0.03333333333333333</v>
      </c>
      <c r="I234" s="144">
        <v>0</v>
      </c>
      <c r="J234" s="144">
        <v>0</v>
      </c>
      <c r="K234" s="144">
        <f>0.45*20/30</f>
        <v>0.3</v>
      </c>
      <c r="L234" s="144">
        <f>7.5*20/30</f>
        <v>5</v>
      </c>
      <c r="M234" s="144">
        <f>24.68*20/30</f>
        <v>16.453333333333333</v>
      </c>
      <c r="N234" s="144">
        <f>5.32*20/30</f>
        <v>3.546666666666667</v>
      </c>
      <c r="O234" s="144">
        <f>0.45*20/30</f>
        <v>0.3</v>
      </c>
      <c r="P234" s="98"/>
    </row>
    <row r="235" spans="1:15" ht="15">
      <c r="A235" s="29"/>
      <c r="B235" s="28" t="s">
        <v>26</v>
      </c>
      <c r="C235" s="62">
        <v>530</v>
      </c>
      <c r="D235" s="166">
        <f aca="true" t="shared" si="32" ref="D235:O235">SUM(D229:D234)</f>
        <v>17.791666666666668</v>
      </c>
      <c r="E235" s="166">
        <f t="shared" si="32"/>
        <v>18.466666666666665</v>
      </c>
      <c r="F235" s="166">
        <f t="shared" si="32"/>
        <v>65.82366666666667</v>
      </c>
      <c r="G235" s="166">
        <f t="shared" si="32"/>
        <v>506.3333333333333</v>
      </c>
      <c r="H235" s="166">
        <f t="shared" si="32"/>
        <v>31.582</v>
      </c>
      <c r="I235" s="166">
        <f t="shared" si="32"/>
        <v>55.214666666666666</v>
      </c>
      <c r="J235" s="166">
        <f t="shared" si="32"/>
        <v>1.6826666666666668</v>
      </c>
      <c r="K235" s="166">
        <f t="shared" si="32"/>
        <v>1.828</v>
      </c>
      <c r="L235" s="166">
        <f t="shared" si="32"/>
        <v>133.91066666666666</v>
      </c>
      <c r="M235" s="166">
        <f t="shared" si="32"/>
        <v>609.5286666666667</v>
      </c>
      <c r="N235" s="166">
        <f t="shared" si="32"/>
        <v>143.3193333333333</v>
      </c>
      <c r="O235" s="166">
        <f t="shared" si="32"/>
        <v>8.240333333333334</v>
      </c>
    </row>
    <row r="236" spans="1:15" ht="15" customHeight="1">
      <c r="A236" s="194" t="s">
        <v>115</v>
      </c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6"/>
    </row>
    <row r="237" spans="1:15" ht="14.25">
      <c r="A237" s="29">
        <v>129</v>
      </c>
      <c r="B237" s="28" t="s">
        <v>98</v>
      </c>
      <c r="C237" s="29">
        <v>100</v>
      </c>
      <c r="D237" s="150">
        <v>4.95</v>
      </c>
      <c r="E237" s="150">
        <v>3.86</v>
      </c>
      <c r="F237" s="150">
        <v>28.4</v>
      </c>
      <c r="G237" s="150">
        <v>166.5</v>
      </c>
      <c r="H237" s="150">
        <v>0</v>
      </c>
      <c r="I237" s="150">
        <f>1.9*30/40</f>
        <v>1.425</v>
      </c>
      <c r="J237" s="151">
        <v>0</v>
      </c>
      <c r="K237" s="151">
        <v>0</v>
      </c>
      <c r="L237" s="151">
        <f>17*30/40</f>
        <v>12.75</v>
      </c>
      <c r="M237" s="151">
        <f>9*30/40</f>
        <v>6.75</v>
      </c>
      <c r="N237" s="151">
        <f>7*30/40</f>
        <v>5.25</v>
      </c>
      <c r="O237" s="151">
        <f>0.09*30/40</f>
        <v>0.06749999999999999</v>
      </c>
    </row>
    <row r="238" spans="1:15" ht="14.25">
      <c r="A238" s="29">
        <v>686</v>
      </c>
      <c r="B238" s="28" t="s">
        <v>66</v>
      </c>
      <c r="C238" s="29">
        <v>180</v>
      </c>
      <c r="D238" s="152">
        <f>0.2*150/180</f>
        <v>0.16666666666666666</v>
      </c>
      <c r="E238" s="152">
        <v>0</v>
      </c>
      <c r="F238" s="152">
        <f>15*150/180</f>
        <v>12.5</v>
      </c>
      <c r="G238" s="152">
        <f>58*150/180</f>
        <v>48.333333333333336</v>
      </c>
      <c r="H238" s="153">
        <v>0</v>
      </c>
      <c r="I238" s="153">
        <f>2.2*150/180</f>
        <v>1.8333333333333333</v>
      </c>
      <c r="J238" s="153">
        <v>0</v>
      </c>
      <c r="K238" s="153">
        <v>0</v>
      </c>
      <c r="L238" s="153">
        <f>87*150/180</f>
        <v>72.5</v>
      </c>
      <c r="M238" s="153">
        <f>68*150/180</f>
        <v>56.666666666666664</v>
      </c>
      <c r="N238" s="153">
        <f>14*150/180</f>
        <v>11.666666666666666</v>
      </c>
      <c r="O238" s="153">
        <f>0.8*150/180</f>
        <v>0.6666666666666666</v>
      </c>
    </row>
    <row r="239" spans="1:15" ht="14.25">
      <c r="A239" s="29"/>
      <c r="B239" s="28"/>
      <c r="C239" s="29"/>
      <c r="D239" s="152"/>
      <c r="E239" s="152"/>
      <c r="F239" s="152"/>
      <c r="G239" s="152"/>
      <c r="H239" s="153"/>
      <c r="I239" s="153"/>
      <c r="J239" s="153"/>
      <c r="K239" s="153"/>
      <c r="L239" s="153"/>
      <c r="M239" s="153"/>
      <c r="N239" s="153"/>
      <c r="O239" s="153"/>
    </row>
    <row r="240" spans="1:15" ht="15">
      <c r="A240" s="29"/>
      <c r="B240" s="28" t="s">
        <v>26</v>
      </c>
      <c r="C240" s="62">
        <v>250</v>
      </c>
      <c r="D240" s="155">
        <f>SUM(D237:D239)</f>
        <v>5.116666666666667</v>
      </c>
      <c r="E240" s="155">
        <f aca="true" t="shared" si="33" ref="E240:O240">SUM(E237:E239)</f>
        <v>3.86</v>
      </c>
      <c r="F240" s="155">
        <f t="shared" si="33"/>
        <v>40.9</v>
      </c>
      <c r="G240" s="155">
        <f t="shared" si="33"/>
        <v>214.83333333333334</v>
      </c>
      <c r="H240" s="155">
        <f t="shared" si="33"/>
        <v>0</v>
      </c>
      <c r="I240" s="155">
        <f t="shared" si="33"/>
        <v>3.2583333333333333</v>
      </c>
      <c r="J240" s="155">
        <f t="shared" si="33"/>
        <v>0</v>
      </c>
      <c r="K240" s="155">
        <f t="shared" si="33"/>
        <v>0</v>
      </c>
      <c r="L240" s="155">
        <f t="shared" si="33"/>
        <v>85.25</v>
      </c>
      <c r="M240" s="155">
        <f t="shared" si="33"/>
        <v>63.416666666666664</v>
      </c>
      <c r="N240" s="155">
        <f t="shared" si="33"/>
        <v>16.916666666666664</v>
      </c>
      <c r="O240" s="155">
        <f t="shared" si="33"/>
        <v>0.7341666666666666</v>
      </c>
    </row>
    <row r="241" spans="1:15" ht="15">
      <c r="A241" s="29"/>
      <c r="B241" s="61" t="s">
        <v>27</v>
      </c>
      <c r="C241" s="29"/>
      <c r="D241" s="155">
        <f>D224+D235+D240+D227</f>
        <v>37.215</v>
      </c>
      <c r="E241" s="155">
        <f aca="true" t="shared" si="34" ref="E241:O241">E224+E235+E240+E227</f>
        <v>35.75666666666666</v>
      </c>
      <c r="F241" s="155">
        <f t="shared" si="34"/>
        <v>170.64366666666666</v>
      </c>
      <c r="G241" s="155">
        <f t="shared" si="34"/>
        <v>1144.6999999999998</v>
      </c>
      <c r="H241" s="155">
        <f t="shared" si="34"/>
        <v>31.935333333333332</v>
      </c>
      <c r="I241" s="155">
        <f t="shared" si="34"/>
        <v>62.25633333333333</v>
      </c>
      <c r="J241" s="155">
        <f t="shared" si="34"/>
        <v>55.08266666666667</v>
      </c>
      <c r="K241" s="155">
        <f t="shared" si="34"/>
        <v>2.8280000000000003</v>
      </c>
      <c r="L241" s="155">
        <f t="shared" si="34"/>
        <v>621.6706666666666</v>
      </c>
      <c r="M241" s="155">
        <f t="shared" si="34"/>
        <v>1117.8653333333332</v>
      </c>
      <c r="N241" s="155">
        <f t="shared" si="34"/>
        <v>265.6493333333333</v>
      </c>
      <c r="O241" s="155">
        <f t="shared" si="34"/>
        <v>11.691166666666668</v>
      </c>
    </row>
    <row r="242" spans="1:15" ht="15">
      <c r="A242" s="5"/>
      <c r="B242" s="186" t="s">
        <v>117</v>
      </c>
      <c r="C242" s="7"/>
      <c r="D242" s="3">
        <v>29.4</v>
      </c>
      <c r="E242" s="3">
        <v>32.9</v>
      </c>
      <c r="F242" s="3">
        <v>142.1</v>
      </c>
      <c r="G242" s="3">
        <v>980</v>
      </c>
      <c r="H242" s="57"/>
      <c r="I242" s="57"/>
      <c r="J242" s="57"/>
      <c r="K242" s="57"/>
      <c r="L242" s="57"/>
      <c r="M242" s="57"/>
      <c r="N242" s="57"/>
      <c r="O242" s="57"/>
    </row>
    <row r="243" spans="1:15" ht="105" customHeight="1">
      <c r="A243" s="5"/>
      <c r="B243" s="84"/>
      <c r="C243" s="5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15" ht="15">
      <c r="A244" s="5"/>
      <c r="B244" s="84"/>
      <c r="C244" s="5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1:15" ht="15">
      <c r="A245" s="5"/>
      <c r="B245" s="84"/>
      <c r="C245" s="5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 ht="29.25" customHeight="1">
      <c r="A246" s="5"/>
      <c r="B246" s="84"/>
      <c r="C246" s="5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</row>
    <row r="247" spans="1:15" ht="15">
      <c r="A247" s="5"/>
      <c r="B247" s="84"/>
      <c r="C247" s="5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</row>
    <row r="248" spans="1:15" ht="38.25" customHeight="1">
      <c r="A248" s="200" t="s">
        <v>129</v>
      </c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</row>
    <row r="249" spans="1:15" ht="30" customHeight="1">
      <c r="A249" s="7"/>
      <c r="B249" s="2"/>
      <c r="C249" s="58"/>
      <c r="D249" s="3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43"/>
    </row>
    <row r="250" spans="1:15" ht="14.25">
      <c r="A250" s="10" t="s">
        <v>0</v>
      </c>
      <c r="B250" s="9" t="s">
        <v>1</v>
      </c>
      <c r="C250" s="10" t="s">
        <v>2</v>
      </c>
      <c r="D250" s="201" t="s">
        <v>3</v>
      </c>
      <c r="E250" s="202"/>
      <c r="F250" s="203"/>
      <c r="G250" s="10" t="s">
        <v>4</v>
      </c>
      <c r="H250" s="45" t="s">
        <v>5</v>
      </c>
      <c r="I250" s="46"/>
      <c r="J250" s="46"/>
      <c r="K250" s="47"/>
      <c r="L250" s="201" t="s">
        <v>6</v>
      </c>
      <c r="M250" s="202"/>
      <c r="N250" s="202"/>
      <c r="O250" s="203"/>
    </row>
    <row r="251" spans="1:15" ht="18.75">
      <c r="A251" s="13" t="s">
        <v>7</v>
      </c>
      <c r="B251" s="14"/>
      <c r="C251" s="13"/>
      <c r="D251" s="13" t="s">
        <v>8</v>
      </c>
      <c r="E251" s="13" t="s">
        <v>9</v>
      </c>
      <c r="F251" s="13" t="s">
        <v>10</v>
      </c>
      <c r="G251" s="13" t="s">
        <v>11</v>
      </c>
      <c r="H251" s="15" t="s">
        <v>55</v>
      </c>
      <c r="I251" s="15" t="s">
        <v>12</v>
      </c>
      <c r="J251" s="15" t="s">
        <v>13</v>
      </c>
      <c r="K251" s="15" t="s">
        <v>14</v>
      </c>
      <c r="L251" s="16" t="s">
        <v>15</v>
      </c>
      <c r="M251" s="16" t="s">
        <v>16</v>
      </c>
      <c r="N251" s="16" t="s">
        <v>17</v>
      </c>
      <c r="O251" s="16" t="s">
        <v>18</v>
      </c>
    </row>
    <row r="252" spans="1:15" ht="14.25">
      <c r="A252" s="15">
        <v>1</v>
      </c>
      <c r="B252" s="11">
        <v>2</v>
      </c>
      <c r="C252" s="12">
        <v>3</v>
      </c>
      <c r="D252" s="11">
        <v>4</v>
      </c>
      <c r="E252" s="11">
        <v>5</v>
      </c>
      <c r="F252" s="11">
        <v>6</v>
      </c>
      <c r="G252" s="11">
        <v>7</v>
      </c>
      <c r="H252" s="15">
        <v>8</v>
      </c>
      <c r="I252" s="15">
        <v>9</v>
      </c>
      <c r="J252" s="15">
        <v>10</v>
      </c>
      <c r="K252" s="15">
        <v>11</v>
      </c>
      <c r="L252" s="16">
        <v>12</v>
      </c>
      <c r="M252" s="16">
        <v>13</v>
      </c>
      <c r="N252" s="16">
        <v>14</v>
      </c>
      <c r="O252" s="16">
        <v>15</v>
      </c>
    </row>
    <row r="253" spans="1:15" ht="15">
      <c r="A253" s="20"/>
      <c r="B253" s="21" t="s">
        <v>33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ht="20.25" customHeight="1">
      <c r="A254" s="122" t="s">
        <v>19</v>
      </c>
      <c r="B254" s="122"/>
      <c r="C254" s="20"/>
      <c r="D254" s="197" t="s">
        <v>24</v>
      </c>
      <c r="E254" s="197"/>
      <c r="F254" s="19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ht="32.25" customHeight="1">
      <c r="A255" s="199" t="s">
        <v>51</v>
      </c>
      <c r="B255" s="19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4.25">
      <c r="A256" s="111">
        <v>161</v>
      </c>
      <c r="B256" s="118" t="s">
        <v>83</v>
      </c>
      <c r="C256" s="38">
        <v>170</v>
      </c>
      <c r="D256" s="134">
        <v>5.8</v>
      </c>
      <c r="E256" s="134">
        <v>7.2</v>
      </c>
      <c r="F256" s="134">
        <v>21.4</v>
      </c>
      <c r="G256" s="134">
        <v>190</v>
      </c>
      <c r="H256" s="116">
        <v>0.13</v>
      </c>
      <c r="I256" s="116">
        <v>0.24</v>
      </c>
      <c r="J256" s="117">
        <v>68.75</v>
      </c>
      <c r="K256" s="117">
        <v>0.69</v>
      </c>
      <c r="L256" s="117">
        <v>148.93</v>
      </c>
      <c r="M256" s="117">
        <v>185.11</v>
      </c>
      <c r="N256" s="117">
        <v>21.3</v>
      </c>
      <c r="O256" s="117">
        <v>7.17</v>
      </c>
    </row>
    <row r="257" spans="1:15" ht="14.25">
      <c r="A257" s="26" t="s">
        <v>110</v>
      </c>
      <c r="B257" s="27" t="s">
        <v>104</v>
      </c>
      <c r="C257" s="114">
        <v>30</v>
      </c>
      <c r="D257" s="143">
        <v>2.25</v>
      </c>
      <c r="E257" s="143">
        <v>0.87</v>
      </c>
      <c r="F257" s="143">
        <v>15.27</v>
      </c>
      <c r="G257" s="143">
        <v>79.2</v>
      </c>
      <c r="H257" s="144">
        <f>0.05*20/30</f>
        <v>0.03333333333333333</v>
      </c>
      <c r="I257" s="144">
        <v>0</v>
      </c>
      <c r="J257" s="144">
        <v>0</v>
      </c>
      <c r="K257" s="144">
        <f>0.45*20/30</f>
        <v>0.3</v>
      </c>
      <c r="L257" s="144">
        <f>7.5*20/30</f>
        <v>5</v>
      </c>
      <c r="M257" s="144">
        <f>24.68*20/30</f>
        <v>16.453333333333333</v>
      </c>
      <c r="N257" s="144">
        <f>5.32*20/30</f>
        <v>3.546666666666667</v>
      </c>
      <c r="O257" s="144">
        <f>0.45*20/30</f>
        <v>0.3</v>
      </c>
    </row>
    <row r="258" spans="1:15" ht="14.25">
      <c r="A258" s="29">
        <v>685</v>
      </c>
      <c r="B258" s="51" t="s">
        <v>71</v>
      </c>
      <c r="C258" s="96">
        <v>180</v>
      </c>
      <c r="D258" s="130">
        <f>0.2*150/180</f>
        <v>0.16666666666666666</v>
      </c>
      <c r="E258" s="130">
        <v>0</v>
      </c>
      <c r="F258" s="130">
        <f>15*150/180</f>
        <v>12.5</v>
      </c>
      <c r="G258" s="130">
        <f>58*150/180</f>
        <v>48.333333333333336</v>
      </c>
      <c r="H258" s="103">
        <v>0</v>
      </c>
      <c r="I258" s="103">
        <f>2.2*150/180</f>
        <v>1.8333333333333333</v>
      </c>
      <c r="J258" s="103">
        <v>0</v>
      </c>
      <c r="K258" s="103">
        <v>0</v>
      </c>
      <c r="L258" s="103">
        <f>87*150/180</f>
        <v>72.5</v>
      </c>
      <c r="M258" s="103">
        <f>68*150/180</f>
        <v>56.666666666666664</v>
      </c>
      <c r="N258" s="103">
        <f>14*150/180</f>
        <v>11.666666666666666</v>
      </c>
      <c r="O258" s="103">
        <f>0.8*150/180</f>
        <v>0.6666666666666666</v>
      </c>
    </row>
    <row r="259" spans="1:15" ht="15">
      <c r="A259" s="17"/>
      <c r="B259" s="31" t="s">
        <v>26</v>
      </c>
      <c r="C259" s="40">
        <v>350</v>
      </c>
      <c r="D259" s="32">
        <f aca="true" t="shared" si="35" ref="D259:O259">SUM(D256:D258)</f>
        <v>8.216666666666667</v>
      </c>
      <c r="E259" s="32">
        <f t="shared" si="35"/>
        <v>8.07</v>
      </c>
      <c r="F259" s="32">
        <f t="shared" si="35"/>
        <v>49.17</v>
      </c>
      <c r="G259" s="33">
        <f t="shared" si="35"/>
        <v>317.5333333333333</v>
      </c>
      <c r="H259" s="32">
        <f t="shared" si="35"/>
        <v>0.16333333333333333</v>
      </c>
      <c r="I259" s="32">
        <f t="shared" si="35"/>
        <v>2.0733333333333333</v>
      </c>
      <c r="J259" s="32">
        <f t="shared" si="35"/>
        <v>68.75</v>
      </c>
      <c r="K259" s="32">
        <f t="shared" si="35"/>
        <v>0.99</v>
      </c>
      <c r="L259" s="34">
        <f t="shared" si="35"/>
        <v>226.43</v>
      </c>
      <c r="M259" s="34">
        <f t="shared" si="35"/>
        <v>258.23</v>
      </c>
      <c r="N259" s="32">
        <f t="shared" si="35"/>
        <v>36.513333333333335</v>
      </c>
      <c r="O259" s="32">
        <f t="shared" si="35"/>
        <v>8.136666666666667</v>
      </c>
    </row>
    <row r="260" spans="1:15" ht="15" customHeight="1">
      <c r="A260" s="204" t="s">
        <v>78</v>
      </c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6"/>
    </row>
    <row r="261" spans="1:15" ht="14.25">
      <c r="A261" s="26">
        <v>389</v>
      </c>
      <c r="B261" s="27" t="s">
        <v>80</v>
      </c>
      <c r="C261" s="29">
        <v>150</v>
      </c>
      <c r="D261" s="169">
        <v>3.26</v>
      </c>
      <c r="E261" s="169"/>
      <c r="F261" s="169">
        <v>15.15</v>
      </c>
      <c r="G261" s="169">
        <v>63</v>
      </c>
      <c r="H261" s="169">
        <f>0.019*180/200</f>
        <v>0.0171</v>
      </c>
      <c r="I261" s="169">
        <f>3.8*180/200</f>
        <v>3.42</v>
      </c>
      <c r="J261" s="169">
        <f>0.16*180/200</f>
        <v>0.14400000000000002</v>
      </c>
      <c r="K261" s="169">
        <v>0</v>
      </c>
      <c r="L261" s="169">
        <f>13.3*180/200</f>
        <v>11.97</v>
      </c>
      <c r="M261" s="169">
        <v>0</v>
      </c>
      <c r="N261" s="169">
        <f>2.66*180/200</f>
        <v>2.394</v>
      </c>
      <c r="O261" s="169">
        <v>0</v>
      </c>
    </row>
    <row r="262" spans="1:15" ht="15">
      <c r="A262" s="17"/>
      <c r="B262" s="31" t="s">
        <v>26</v>
      </c>
      <c r="C262" s="40">
        <v>100</v>
      </c>
      <c r="D262" s="135">
        <f aca="true" t="shared" si="36" ref="D262:O262">SUM(D261)</f>
        <v>3.26</v>
      </c>
      <c r="E262" s="135">
        <f t="shared" si="36"/>
        <v>0</v>
      </c>
      <c r="F262" s="135">
        <f t="shared" si="36"/>
        <v>15.15</v>
      </c>
      <c r="G262" s="135">
        <f t="shared" si="36"/>
        <v>63</v>
      </c>
      <c r="H262" s="135">
        <f t="shared" si="36"/>
        <v>0.0171</v>
      </c>
      <c r="I262" s="135">
        <f t="shared" si="36"/>
        <v>3.42</v>
      </c>
      <c r="J262" s="135">
        <f t="shared" si="36"/>
        <v>0.14400000000000002</v>
      </c>
      <c r="K262" s="135">
        <f t="shared" si="36"/>
        <v>0</v>
      </c>
      <c r="L262" s="135">
        <f t="shared" si="36"/>
        <v>11.97</v>
      </c>
      <c r="M262" s="135">
        <f t="shared" si="36"/>
        <v>0</v>
      </c>
      <c r="N262" s="135">
        <f t="shared" si="36"/>
        <v>2.394</v>
      </c>
      <c r="O262" s="135">
        <f t="shared" si="36"/>
        <v>0</v>
      </c>
    </row>
    <row r="263" spans="1:15" ht="15">
      <c r="A263" s="7"/>
      <c r="B263" s="2"/>
      <c r="C263" s="7"/>
      <c r="D263" s="35" t="s">
        <v>22</v>
      </c>
      <c r="E263" s="35"/>
      <c r="F263" s="35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4.25">
      <c r="A264" s="29">
        <v>16</v>
      </c>
      <c r="B264" s="23" t="s">
        <v>86</v>
      </c>
      <c r="C264" s="25">
        <v>50</v>
      </c>
      <c r="D264" s="116">
        <v>0.4</v>
      </c>
      <c r="E264" s="116">
        <v>0</v>
      </c>
      <c r="F264" s="116">
        <v>1.9</v>
      </c>
      <c r="G264" s="116">
        <v>7</v>
      </c>
      <c r="H264" s="116">
        <f>46.6*40/60</f>
        <v>31.066666666666666</v>
      </c>
      <c r="I264" s="116">
        <f>0.1*40/60</f>
        <v>0.06666666666666667</v>
      </c>
      <c r="J264" s="117">
        <f>0.04*40/60</f>
        <v>0.02666666666666667</v>
      </c>
      <c r="K264" s="117">
        <v>0.34</v>
      </c>
      <c r="L264" s="117">
        <f>76.66*40/60</f>
        <v>51.10666666666666</v>
      </c>
      <c r="M264" s="117">
        <f>140*40/60</f>
        <v>93.33333333333333</v>
      </c>
      <c r="N264" s="117">
        <f>46.66*40/60</f>
        <v>31.106666666666666</v>
      </c>
      <c r="O264" s="117">
        <f>2*40/60</f>
        <v>1.3333333333333333</v>
      </c>
    </row>
    <row r="265" spans="1:15" ht="14.25">
      <c r="A265" s="26">
        <v>135</v>
      </c>
      <c r="B265" s="27" t="s">
        <v>44</v>
      </c>
      <c r="C265" s="26" t="s">
        <v>125</v>
      </c>
      <c r="D265" s="139">
        <f>3*150/200</f>
        <v>2.25</v>
      </c>
      <c r="E265" s="139">
        <f>4.5*150/200</f>
        <v>3.375</v>
      </c>
      <c r="F265" s="139">
        <f>20.4*150/200</f>
        <v>15.3</v>
      </c>
      <c r="G265" s="139">
        <f>137*150/200</f>
        <v>102.75</v>
      </c>
      <c r="H265" s="140">
        <f>0.09*150/200</f>
        <v>0.0675</v>
      </c>
      <c r="I265" s="140">
        <f>6.83*150/200</f>
        <v>5.1225</v>
      </c>
      <c r="J265" s="140">
        <f>0.01*150/200</f>
        <v>0.0075</v>
      </c>
      <c r="K265" s="140">
        <v>0</v>
      </c>
      <c r="L265" s="140">
        <f>44.4*150/200</f>
        <v>33.3</v>
      </c>
      <c r="M265" s="140">
        <f>87.6*150/200</f>
        <v>65.7</v>
      </c>
      <c r="N265" s="140">
        <f>28.4*150/200</f>
        <v>21.3</v>
      </c>
      <c r="O265" s="140">
        <f>1.55*150/200</f>
        <v>1.1625</v>
      </c>
    </row>
    <row r="266" spans="1:15" ht="14.25">
      <c r="A266" s="29">
        <v>165</v>
      </c>
      <c r="B266" s="115" t="s">
        <v>54</v>
      </c>
      <c r="C266" s="29" t="s">
        <v>77</v>
      </c>
      <c r="D266" s="143">
        <v>6.8</v>
      </c>
      <c r="E266" s="143">
        <v>5.3</v>
      </c>
      <c r="F266" s="143">
        <v>6.3</v>
      </c>
      <c r="G266" s="143">
        <v>100</v>
      </c>
      <c r="H266" s="144">
        <v>1.4</v>
      </c>
      <c r="I266" s="144">
        <v>0</v>
      </c>
      <c r="J266" s="144">
        <v>141.1</v>
      </c>
      <c r="K266" s="144">
        <v>3.92</v>
      </c>
      <c r="L266" s="144">
        <v>86.4</v>
      </c>
      <c r="M266" s="144">
        <v>46.6</v>
      </c>
      <c r="N266" s="144">
        <v>84.18</v>
      </c>
      <c r="O266" s="144">
        <v>5.04</v>
      </c>
    </row>
    <row r="267" spans="1:15" ht="14.25">
      <c r="A267" s="65">
        <v>330</v>
      </c>
      <c r="B267" s="115" t="s">
        <v>30</v>
      </c>
      <c r="C267" s="97">
        <v>130</v>
      </c>
      <c r="D267" s="143">
        <v>11.76</v>
      </c>
      <c r="E267" s="143">
        <v>1.2</v>
      </c>
      <c r="F267" s="143">
        <v>27.92</v>
      </c>
      <c r="G267" s="143">
        <v>171.6</v>
      </c>
      <c r="H267" s="144">
        <v>0</v>
      </c>
      <c r="I267" s="144">
        <v>2.24</v>
      </c>
      <c r="J267" s="144">
        <v>0</v>
      </c>
      <c r="K267" s="144">
        <v>0.16</v>
      </c>
      <c r="L267" s="144">
        <v>14.4</v>
      </c>
      <c r="M267" s="144">
        <v>8</v>
      </c>
      <c r="N267" s="144">
        <v>3.2</v>
      </c>
      <c r="O267" s="144">
        <v>0.48</v>
      </c>
    </row>
    <row r="268" spans="1:15" ht="14.25">
      <c r="A268" s="29">
        <v>639</v>
      </c>
      <c r="B268" s="28" t="s">
        <v>32</v>
      </c>
      <c r="C268" s="29">
        <v>180</v>
      </c>
      <c r="D268" s="145">
        <f>0.097*150/180</f>
        <v>0.08083333333333334</v>
      </c>
      <c r="E268" s="145">
        <f>0.039*150/180</f>
        <v>0.0325</v>
      </c>
      <c r="F268" s="145">
        <f>21.512*150/180</f>
        <v>17.92666666666667</v>
      </c>
      <c r="G268" s="145">
        <f>86.785*150/180</f>
        <v>72.32083333333334</v>
      </c>
      <c r="H268" s="145">
        <f>0.002*150/180</f>
        <v>0.0016666666666666666</v>
      </c>
      <c r="I268" s="145">
        <f>0.058*150/180</f>
        <v>0.04833333333333334</v>
      </c>
      <c r="J268" s="145">
        <f>1.358*150/180</f>
        <v>1.1316666666666668</v>
      </c>
      <c r="K268" s="145">
        <f>0.058*150/180</f>
        <v>0.04833333333333334</v>
      </c>
      <c r="L268" s="145">
        <f>7.584*150/180</f>
        <v>6.319999999999999</v>
      </c>
      <c r="M268" s="145">
        <f>4.462*150/180</f>
        <v>3.7183333333333333</v>
      </c>
      <c r="N268" s="145">
        <f>1.746*150/180</f>
        <v>1.4549999999999998</v>
      </c>
      <c r="O268" s="145">
        <f>0.157*150/180</f>
        <v>0.13083333333333333</v>
      </c>
    </row>
    <row r="269" spans="1:15" ht="14.25">
      <c r="A269" s="26" t="s">
        <v>110</v>
      </c>
      <c r="B269" s="27" t="s">
        <v>112</v>
      </c>
      <c r="C269" s="29">
        <v>20</v>
      </c>
      <c r="D269" s="145">
        <v>1.34</v>
      </c>
      <c r="E269" s="145">
        <v>0.27</v>
      </c>
      <c r="F269" s="145">
        <v>8.07</v>
      </c>
      <c r="G269" s="145">
        <v>43.34</v>
      </c>
      <c r="H269" s="145">
        <v>0.05</v>
      </c>
      <c r="I269" s="145">
        <v>0</v>
      </c>
      <c r="J269" s="145">
        <v>0</v>
      </c>
      <c r="K269" s="145">
        <v>0.45</v>
      </c>
      <c r="L269" s="145">
        <v>7.5</v>
      </c>
      <c r="M269" s="145">
        <v>24.68</v>
      </c>
      <c r="N269" s="145">
        <v>5.32</v>
      </c>
      <c r="O269" s="145">
        <v>0.45</v>
      </c>
    </row>
    <row r="270" spans="1:16" ht="14.25">
      <c r="A270" s="26"/>
      <c r="B270" s="27" t="s">
        <v>21</v>
      </c>
      <c r="C270" s="114">
        <v>20</v>
      </c>
      <c r="D270" s="143">
        <f>2.02*20/30</f>
        <v>1.3466666666666667</v>
      </c>
      <c r="E270" s="143">
        <f>0.4*20/30</f>
        <v>0.26666666666666666</v>
      </c>
      <c r="F270" s="143">
        <f>12.1*20/30</f>
        <v>8.066666666666666</v>
      </c>
      <c r="G270" s="143">
        <f>65*20/30</f>
        <v>43.333333333333336</v>
      </c>
      <c r="H270" s="144">
        <f>0.05*20/30</f>
        <v>0.03333333333333333</v>
      </c>
      <c r="I270" s="144">
        <v>0</v>
      </c>
      <c r="J270" s="144">
        <v>0</v>
      </c>
      <c r="K270" s="144">
        <f>0.45*20/30</f>
        <v>0.3</v>
      </c>
      <c r="L270" s="144">
        <f>7.5*20/30</f>
        <v>5</v>
      </c>
      <c r="M270" s="144">
        <f>24.68*20/30</f>
        <v>16.453333333333333</v>
      </c>
      <c r="N270" s="144">
        <f>5.32*20/30</f>
        <v>3.546666666666667</v>
      </c>
      <c r="O270" s="144">
        <f>0.45*20/30</f>
        <v>0.3</v>
      </c>
      <c r="P270" s="98"/>
    </row>
    <row r="271" spans="1:15" ht="15">
      <c r="A271" s="17"/>
      <c r="B271" s="31" t="s">
        <v>26</v>
      </c>
      <c r="C271" s="40">
        <v>600</v>
      </c>
      <c r="D271" s="32">
        <f aca="true" t="shared" si="37" ref="D271:O271">SUM(D264:D270)</f>
        <v>23.977500000000003</v>
      </c>
      <c r="E271" s="32">
        <f t="shared" si="37"/>
        <v>10.444166666666668</v>
      </c>
      <c r="F271" s="32">
        <f t="shared" si="37"/>
        <v>85.48333333333332</v>
      </c>
      <c r="G271" s="32">
        <f t="shared" si="37"/>
        <v>540.3441666666668</v>
      </c>
      <c r="H271" s="32">
        <f t="shared" si="37"/>
        <v>32.61916666666666</v>
      </c>
      <c r="I271" s="32">
        <f t="shared" si="37"/>
        <v>7.477499999999999</v>
      </c>
      <c r="J271" s="32">
        <f t="shared" si="37"/>
        <v>142.26583333333332</v>
      </c>
      <c r="K271" s="32">
        <f t="shared" si="37"/>
        <v>5.218333333333334</v>
      </c>
      <c r="L271" s="32">
        <f t="shared" si="37"/>
        <v>204.02666666666667</v>
      </c>
      <c r="M271" s="32">
        <f t="shared" si="37"/>
        <v>258.485</v>
      </c>
      <c r="N271" s="32">
        <f t="shared" si="37"/>
        <v>150.10833333333335</v>
      </c>
      <c r="O271" s="32">
        <f t="shared" si="37"/>
        <v>8.896666666666667</v>
      </c>
    </row>
    <row r="272" spans="1:15" ht="15" customHeight="1">
      <c r="A272" s="194" t="s">
        <v>116</v>
      </c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6"/>
    </row>
    <row r="273" spans="1:15" ht="14.25">
      <c r="A273" s="50" t="s">
        <v>110</v>
      </c>
      <c r="B273" s="172" t="s">
        <v>120</v>
      </c>
      <c r="C273" s="50">
        <v>50</v>
      </c>
      <c r="D273" s="143">
        <v>5.1</v>
      </c>
      <c r="E273" s="143">
        <v>5.3</v>
      </c>
      <c r="F273" s="143">
        <v>26.1</v>
      </c>
      <c r="G273" s="143">
        <v>174</v>
      </c>
      <c r="H273" s="144">
        <v>0.06</v>
      </c>
      <c r="I273" s="144">
        <v>1.31</v>
      </c>
      <c r="J273" s="144">
        <v>29.63</v>
      </c>
      <c r="K273" s="144">
        <v>1.25</v>
      </c>
      <c r="L273" s="144">
        <v>25.59</v>
      </c>
      <c r="M273" s="144">
        <v>52.13</v>
      </c>
      <c r="N273" s="144">
        <v>11.05</v>
      </c>
      <c r="O273" s="144">
        <v>0.75</v>
      </c>
    </row>
    <row r="274" spans="1:15" ht="14.25">
      <c r="A274" s="29">
        <v>685</v>
      </c>
      <c r="B274" s="31" t="s">
        <v>20</v>
      </c>
      <c r="C274" s="17">
        <v>180</v>
      </c>
      <c r="D274" s="130">
        <f>0.2*150/180</f>
        <v>0.16666666666666666</v>
      </c>
      <c r="E274" s="130">
        <v>0</v>
      </c>
      <c r="F274" s="130">
        <f>15*150/180</f>
        <v>12.5</v>
      </c>
      <c r="G274" s="130">
        <f>58*150/180</f>
        <v>48.333333333333336</v>
      </c>
      <c r="H274" s="103">
        <v>0</v>
      </c>
      <c r="I274" s="103">
        <f>2.2*150/180</f>
        <v>1.8333333333333333</v>
      </c>
      <c r="J274" s="103">
        <v>0</v>
      </c>
      <c r="K274" s="103">
        <v>0</v>
      </c>
      <c r="L274" s="103">
        <f>87*150/180</f>
        <v>72.5</v>
      </c>
      <c r="M274" s="103">
        <f>68*150/180</f>
        <v>56.666666666666664</v>
      </c>
      <c r="N274" s="103">
        <f>14*150/180</f>
        <v>11.666666666666666</v>
      </c>
      <c r="O274" s="103">
        <f>0.8*150/180</f>
        <v>0.6666666666666666</v>
      </c>
    </row>
    <row r="275" spans="1:15" ht="14.25">
      <c r="A275" s="110"/>
      <c r="B275" s="27"/>
      <c r="C275" s="29"/>
      <c r="D275" s="169"/>
      <c r="E275" s="169"/>
      <c r="F275" s="169"/>
      <c r="G275" s="169"/>
      <c r="H275" s="164"/>
      <c r="I275" s="164"/>
      <c r="J275" s="165"/>
      <c r="K275" s="165"/>
      <c r="L275" s="165"/>
      <c r="M275" s="165"/>
      <c r="N275" s="165"/>
      <c r="O275" s="165"/>
    </row>
    <row r="276" spans="1:15" ht="15">
      <c r="A276" s="110"/>
      <c r="B276" s="31" t="s">
        <v>26</v>
      </c>
      <c r="C276" s="40">
        <v>200</v>
      </c>
      <c r="D276" s="135">
        <f>SUM(D273:D275)</f>
        <v>5.266666666666667</v>
      </c>
      <c r="E276" s="135">
        <f aca="true" t="shared" si="38" ref="E276:O276">SUM(E273:E275)</f>
        <v>5.3</v>
      </c>
      <c r="F276" s="135">
        <f t="shared" si="38"/>
        <v>38.6</v>
      </c>
      <c r="G276" s="135">
        <f t="shared" si="38"/>
        <v>222.33333333333334</v>
      </c>
      <c r="H276" s="135">
        <f t="shared" si="38"/>
        <v>0.06</v>
      </c>
      <c r="I276" s="135">
        <f t="shared" si="38"/>
        <v>3.1433333333333335</v>
      </c>
      <c r="J276" s="135">
        <f t="shared" si="38"/>
        <v>29.63</v>
      </c>
      <c r="K276" s="135">
        <f t="shared" si="38"/>
        <v>1.25</v>
      </c>
      <c r="L276" s="135">
        <f t="shared" si="38"/>
        <v>98.09</v>
      </c>
      <c r="M276" s="135">
        <f t="shared" si="38"/>
        <v>108.79666666666667</v>
      </c>
      <c r="N276" s="135">
        <f t="shared" si="38"/>
        <v>22.71666666666667</v>
      </c>
      <c r="O276" s="135">
        <f t="shared" si="38"/>
        <v>1.4166666666666665</v>
      </c>
    </row>
    <row r="277" spans="1:15" ht="15">
      <c r="A277" s="76"/>
      <c r="B277" s="61" t="s">
        <v>27</v>
      </c>
      <c r="C277" s="29"/>
      <c r="D277" s="166">
        <f>D259+D271+D276+D262</f>
        <v>40.72083333333333</v>
      </c>
      <c r="E277" s="166">
        <f aca="true" t="shared" si="39" ref="E277:O277">E259+E271+E276+E262</f>
        <v>23.81416666666667</v>
      </c>
      <c r="F277" s="166">
        <f t="shared" si="39"/>
        <v>188.4033333333333</v>
      </c>
      <c r="G277" s="166">
        <f t="shared" si="39"/>
        <v>1143.2108333333333</v>
      </c>
      <c r="H277" s="166">
        <f t="shared" si="39"/>
        <v>32.85959999999999</v>
      </c>
      <c r="I277" s="166">
        <f t="shared" si="39"/>
        <v>16.11416666666667</v>
      </c>
      <c r="J277" s="166">
        <f t="shared" si="39"/>
        <v>240.78983333333332</v>
      </c>
      <c r="K277" s="166">
        <f t="shared" si="39"/>
        <v>7.458333333333334</v>
      </c>
      <c r="L277" s="166">
        <f t="shared" si="39"/>
        <v>540.5166666666668</v>
      </c>
      <c r="M277" s="166">
        <f t="shared" si="39"/>
        <v>625.5116666666667</v>
      </c>
      <c r="N277" s="166">
        <f t="shared" si="39"/>
        <v>211.73233333333334</v>
      </c>
      <c r="O277" s="166">
        <f t="shared" si="39"/>
        <v>18.45</v>
      </c>
    </row>
    <row r="278" spans="1:15" ht="15">
      <c r="A278" s="5"/>
      <c r="B278" s="186" t="s">
        <v>117</v>
      </c>
      <c r="C278" s="7"/>
      <c r="D278" s="3">
        <v>29.4</v>
      </c>
      <c r="E278" s="3">
        <v>32.9</v>
      </c>
      <c r="F278" s="3">
        <v>142.1</v>
      </c>
      <c r="G278" s="3">
        <v>980</v>
      </c>
      <c r="H278" s="57"/>
      <c r="I278" s="57"/>
      <c r="J278" s="57"/>
      <c r="K278" s="57"/>
      <c r="L278" s="57"/>
      <c r="M278" s="57"/>
      <c r="N278" s="57"/>
      <c r="O278" s="57"/>
    </row>
    <row r="279" spans="1:15" ht="15">
      <c r="A279" s="5"/>
      <c r="B279" s="84"/>
      <c r="C279" s="5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</row>
    <row r="280" spans="1:17" ht="99" customHeight="1">
      <c r="A280" s="5"/>
      <c r="B280" s="84"/>
      <c r="C280" s="5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85"/>
      <c r="Q280" s="98"/>
    </row>
    <row r="281" spans="1:15" ht="102.75" customHeight="1">
      <c r="A281" s="200" t="s">
        <v>129</v>
      </c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</row>
    <row r="282" spans="1:15" ht="27.75" customHeight="1" hidden="1">
      <c r="A282" s="7"/>
      <c r="B282" s="2"/>
      <c r="C282" s="58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1:15" ht="20.25" customHeight="1">
      <c r="A283" s="10" t="s">
        <v>0</v>
      </c>
      <c r="B283" s="9" t="s">
        <v>1</v>
      </c>
      <c r="C283" s="10" t="s">
        <v>2</v>
      </c>
      <c r="D283" s="201" t="s">
        <v>3</v>
      </c>
      <c r="E283" s="202"/>
      <c r="F283" s="203"/>
      <c r="G283" s="10" t="s">
        <v>4</v>
      </c>
      <c r="H283" s="201" t="s">
        <v>5</v>
      </c>
      <c r="I283" s="202"/>
      <c r="J283" s="202"/>
      <c r="K283" s="203"/>
      <c r="L283" s="201" t="s">
        <v>6</v>
      </c>
      <c r="M283" s="202"/>
      <c r="N283" s="202"/>
      <c r="O283" s="203"/>
    </row>
    <row r="284" spans="1:15" ht="18.75">
      <c r="A284" s="13" t="s">
        <v>7</v>
      </c>
      <c r="B284" s="14"/>
      <c r="C284" s="13"/>
      <c r="D284" s="13" t="s">
        <v>8</v>
      </c>
      <c r="E284" s="13" t="s">
        <v>9</v>
      </c>
      <c r="F284" s="13" t="s">
        <v>10</v>
      </c>
      <c r="G284" s="13" t="s">
        <v>11</v>
      </c>
      <c r="H284" s="15" t="s">
        <v>55</v>
      </c>
      <c r="I284" s="15" t="s">
        <v>12</v>
      </c>
      <c r="J284" s="15" t="s">
        <v>13</v>
      </c>
      <c r="K284" s="15" t="s">
        <v>14</v>
      </c>
      <c r="L284" s="16" t="s">
        <v>15</v>
      </c>
      <c r="M284" s="16" t="s">
        <v>16</v>
      </c>
      <c r="N284" s="16" t="s">
        <v>17</v>
      </c>
      <c r="O284" s="16" t="s">
        <v>18</v>
      </c>
    </row>
    <row r="285" spans="1:15" ht="14.25">
      <c r="A285" s="15">
        <v>1</v>
      </c>
      <c r="B285" s="11">
        <v>2</v>
      </c>
      <c r="C285" s="12">
        <v>3</v>
      </c>
      <c r="D285" s="11">
        <v>4</v>
      </c>
      <c r="E285" s="11">
        <v>5</v>
      </c>
      <c r="F285" s="11">
        <v>6</v>
      </c>
      <c r="G285" s="11">
        <v>7</v>
      </c>
      <c r="H285" s="15">
        <v>8</v>
      </c>
      <c r="I285" s="15">
        <v>9</v>
      </c>
      <c r="J285" s="15">
        <v>10</v>
      </c>
      <c r="K285" s="15">
        <v>11</v>
      </c>
      <c r="L285" s="16">
        <v>12</v>
      </c>
      <c r="M285" s="16">
        <v>13</v>
      </c>
      <c r="N285" s="16">
        <v>14</v>
      </c>
      <c r="O285" s="16">
        <v>15</v>
      </c>
    </row>
    <row r="286" spans="1:15" ht="15">
      <c r="A286" s="20"/>
      <c r="B286" s="18"/>
      <c r="C286" s="19"/>
      <c r="D286" s="19"/>
      <c r="E286" s="19"/>
      <c r="F286" s="19"/>
      <c r="G286" s="19"/>
      <c r="H286" s="20"/>
      <c r="I286" s="20"/>
      <c r="J286" s="20"/>
      <c r="K286" s="20"/>
      <c r="L286" s="20"/>
      <c r="M286" s="20"/>
      <c r="N286" s="20"/>
      <c r="O286" s="20"/>
    </row>
    <row r="287" spans="1:15" ht="15">
      <c r="A287" s="20"/>
      <c r="B287" s="21" t="s">
        <v>34</v>
      </c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1:15" ht="15">
      <c r="A288" s="122" t="s">
        <v>19</v>
      </c>
      <c r="B288" s="122"/>
      <c r="C288" s="20"/>
      <c r="D288" s="197" t="s">
        <v>24</v>
      </c>
      <c r="E288" s="197"/>
      <c r="F288" s="19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1:15" ht="35.25" customHeight="1">
      <c r="A289" s="199" t="s">
        <v>51</v>
      </c>
      <c r="B289" s="19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</row>
    <row r="290" spans="1:15" ht="14.25">
      <c r="A290" s="50">
        <v>161</v>
      </c>
      <c r="B290" s="171" t="s">
        <v>99</v>
      </c>
      <c r="C290" s="126">
        <v>170</v>
      </c>
      <c r="D290" s="116">
        <v>4.09</v>
      </c>
      <c r="E290" s="116">
        <v>1.2</v>
      </c>
      <c r="F290" s="116">
        <v>28.31</v>
      </c>
      <c r="G290" s="116">
        <v>140.32</v>
      </c>
      <c r="H290" s="116">
        <v>0</v>
      </c>
      <c r="I290" s="116">
        <f>1.76*170/200</f>
        <v>1.496</v>
      </c>
      <c r="J290" s="117">
        <f>0.3897*170/200</f>
        <v>0.33124499999999996</v>
      </c>
      <c r="K290" s="117">
        <f>0.1102*170/200</f>
        <v>0.09367</v>
      </c>
      <c r="L290" s="117">
        <f>0.2213*170/200</f>
        <v>0.18810500000000002</v>
      </c>
      <c r="M290" s="117">
        <f>0.01959*170/200</f>
        <v>0.0166515</v>
      </c>
      <c r="N290" s="117">
        <f>0.03*170/200</f>
        <v>0.0255</v>
      </c>
      <c r="O290" s="117">
        <f>27.842*170/200</f>
        <v>23.665699999999998</v>
      </c>
    </row>
    <row r="291" spans="1:15" ht="14.25">
      <c r="A291" s="26" t="s">
        <v>111</v>
      </c>
      <c r="B291" s="27" t="s">
        <v>104</v>
      </c>
      <c r="C291" s="114">
        <v>30</v>
      </c>
      <c r="D291" s="143">
        <v>2.25</v>
      </c>
      <c r="E291" s="143">
        <v>0.87</v>
      </c>
      <c r="F291" s="143">
        <v>15.27</v>
      </c>
      <c r="G291" s="143">
        <v>79.2</v>
      </c>
      <c r="H291" s="144">
        <f>0.05*20/30</f>
        <v>0.03333333333333333</v>
      </c>
      <c r="I291" s="144">
        <v>0</v>
      </c>
      <c r="J291" s="144">
        <v>0</v>
      </c>
      <c r="K291" s="144">
        <f>0.45*20/30</f>
        <v>0.3</v>
      </c>
      <c r="L291" s="144">
        <f>7.5*20/30</f>
        <v>5</v>
      </c>
      <c r="M291" s="144">
        <f>24.68*20/30</f>
        <v>16.453333333333333</v>
      </c>
      <c r="N291" s="144">
        <f>5.32*20/30</f>
        <v>3.546666666666667</v>
      </c>
      <c r="O291" s="144">
        <f>0.45*20/30</f>
        <v>0.3</v>
      </c>
    </row>
    <row r="292" spans="1:15" ht="14.25">
      <c r="A292" s="29">
        <v>685</v>
      </c>
      <c r="B292" s="120" t="s">
        <v>66</v>
      </c>
      <c r="C292" s="121">
        <v>180</v>
      </c>
      <c r="D292" s="130">
        <v>1.125</v>
      </c>
      <c r="E292" s="130">
        <v>1.2</v>
      </c>
      <c r="F292" s="130">
        <v>11.85</v>
      </c>
      <c r="G292" s="130">
        <v>60.75</v>
      </c>
      <c r="H292" s="144">
        <v>0</v>
      </c>
      <c r="I292" s="144">
        <f>2.2*150/180</f>
        <v>1.8333333333333333</v>
      </c>
      <c r="J292" s="144">
        <v>0</v>
      </c>
      <c r="K292" s="144">
        <v>0</v>
      </c>
      <c r="L292" s="144">
        <f>87*150/180</f>
        <v>72.5</v>
      </c>
      <c r="M292" s="144">
        <f>68*150/180</f>
        <v>56.666666666666664</v>
      </c>
      <c r="N292" s="144">
        <f>14*150/180</f>
        <v>11.666666666666666</v>
      </c>
      <c r="O292" s="144">
        <f>0.8*150/180</f>
        <v>0.6666666666666666</v>
      </c>
    </row>
    <row r="293" spans="1:15" ht="15">
      <c r="A293" s="144"/>
      <c r="B293" s="172" t="s">
        <v>26</v>
      </c>
      <c r="C293" s="34">
        <v>350</v>
      </c>
      <c r="D293" s="32">
        <f aca="true" t="shared" si="40" ref="D293:O293">SUM(D290:D292)</f>
        <v>7.465</v>
      </c>
      <c r="E293" s="32">
        <f t="shared" si="40"/>
        <v>3.2699999999999996</v>
      </c>
      <c r="F293" s="32">
        <f t="shared" si="40"/>
        <v>55.43</v>
      </c>
      <c r="G293" s="32">
        <f t="shared" si="40"/>
        <v>280.27</v>
      </c>
      <c r="H293" s="32">
        <f t="shared" si="40"/>
        <v>0.03333333333333333</v>
      </c>
      <c r="I293" s="32">
        <f t="shared" si="40"/>
        <v>3.3293333333333335</v>
      </c>
      <c r="J293" s="32">
        <f t="shared" si="40"/>
        <v>0.33124499999999996</v>
      </c>
      <c r="K293" s="32">
        <f t="shared" si="40"/>
        <v>0.39366999999999996</v>
      </c>
      <c r="L293" s="32">
        <f t="shared" si="40"/>
        <v>77.68810500000001</v>
      </c>
      <c r="M293" s="32">
        <f t="shared" si="40"/>
        <v>73.1366515</v>
      </c>
      <c r="N293" s="32">
        <f t="shared" si="40"/>
        <v>15.238833333333332</v>
      </c>
      <c r="O293" s="32">
        <f t="shared" si="40"/>
        <v>24.632366666666666</v>
      </c>
    </row>
    <row r="294" spans="1:15" ht="14.25" customHeight="1">
      <c r="A294" s="218" t="s">
        <v>78</v>
      </c>
      <c r="B294" s="212"/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  <c r="N294" s="212"/>
      <c r="O294" s="213"/>
    </row>
    <row r="295" spans="1:15" ht="14.25">
      <c r="A295" s="26">
        <v>389</v>
      </c>
      <c r="B295" s="27" t="s">
        <v>80</v>
      </c>
      <c r="C295" s="29">
        <v>150</v>
      </c>
      <c r="D295" s="169">
        <v>3.26</v>
      </c>
      <c r="E295" s="169"/>
      <c r="F295" s="169">
        <v>15.15</v>
      </c>
      <c r="G295" s="169">
        <v>63</v>
      </c>
      <c r="H295" s="169">
        <f>0.019*180/200</f>
        <v>0.0171</v>
      </c>
      <c r="I295" s="169">
        <f>3.8*180/200</f>
        <v>3.42</v>
      </c>
      <c r="J295" s="169">
        <f>0.16*180/200</f>
        <v>0.14400000000000002</v>
      </c>
      <c r="K295" s="169">
        <v>0</v>
      </c>
      <c r="L295" s="169">
        <f>13.3*180/200</f>
        <v>11.97</v>
      </c>
      <c r="M295" s="169">
        <v>0</v>
      </c>
      <c r="N295" s="169">
        <f>2.66*180/200</f>
        <v>2.394</v>
      </c>
      <c r="O295" s="169">
        <v>0</v>
      </c>
    </row>
    <row r="296" spans="1:15" ht="15">
      <c r="A296" s="144"/>
      <c r="B296" s="172" t="s">
        <v>26</v>
      </c>
      <c r="C296" s="34">
        <v>150</v>
      </c>
      <c r="D296" s="32">
        <f aca="true" t="shared" si="41" ref="D296:O296">SUM(D295)</f>
        <v>3.26</v>
      </c>
      <c r="E296" s="32">
        <f t="shared" si="41"/>
        <v>0</v>
      </c>
      <c r="F296" s="32">
        <f t="shared" si="41"/>
        <v>15.15</v>
      </c>
      <c r="G296" s="32">
        <f t="shared" si="41"/>
        <v>63</v>
      </c>
      <c r="H296" s="32">
        <f t="shared" si="41"/>
        <v>0.0171</v>
      </c>
      <c r="I296" s="32">
        <f t="shared" si="41"/>
        <v>3.42</v>
      </c>
      <c r="J296" s="32">
        <f t="shared" si="41"/>
        <v>0.14400000000000002</v>
      </c>
      <c r="K296" s="32">
        <f t="shared" si="41"/>
        <v>0</v>
      </c>
      <c r="L296" s="32">
        <f t="shared" si="41"/>
        <v>11.97</v>
      </c>
      <c r="M296" s="32">
        <f t="shared" si="41"/>
        <v>0</v>
      </c>
      <c r="N296" s="32">
        <f t="shared" si="41"/>
        <v>2.394</v>
      </c>
      <c r="O296" s="32">
        <f t="shared" si="41"/>
        <v>0</v>
      </c>
    </row>
    <row r="297" spans="1:15" ht="15">
      <c r="A297" s="174"/>
      <c r="B297" s="175"/>
      <c r="C297" s="174"/>
      <c r="D297" s="168" t="s">
        <v>22</v>
      </c>
      <c r="E297" s="168"/>
      <c r="F297" s="168"/>
      <c r="G297" s="174"/>
      <c r="H297" s="174"/>
      <c r="I297" s="174"/>
      <c r="J297" s="174"/>
      <c r="K297" s="174"/>
      <c r="L297" s="174"/>
      <c r="M297" s="174"/>
      <c r="N297" s="174"/>
      <c r="O297" s="174"/>
    </row>
    <row r="298" spans="1:15" ht="14.25">
      <c r="A298" s="29">
        <v>101</v>
      </c>
      <c r="B298" s="23" t="s">
        <v>88</v>
      </c>
      <c r="C298" s="25">
        <v>50</v>
      </c>
      <c r="D298" s="116">
        <f>2.4*40/60</f>
        <v>1.6</v>
      </c>
      <c r="E298" s="116">
        <f>0.4*40/60</f>
        <v>0.26666666666666666</v>
      </c>
      <c r="F298" s="116">
        <f>11*40/60</f>
        <v>7.333333333333333</v>
      </c>
      <c r="G298" s="116">
        <f>50*40/60</f>
        <v>33.333333333333336</v>
      </c>
      <c r="H298" s="116">
        <f>46.6*40/60</f>
        <v>31.066666666666666</v>
      </c>
      <c r="I298" s="116">
        <f>0.1*40/60</f>
        <v>0.06666666666666667</v>
      </c>
      <c r="J298" s="117">
        <f>0.04*40/60</f>
        <v>0.02666666666666667</v>
      </c>
      <c r="K298" s="117">
        <v>0.34</v>
      </c>
      <c r="L298" s="117">
        <f>76.66*40/60</f>
        <v>51.10666666666666</v>
      </c>
      <c r="M298" s="117">
        <f>140*40/60</f>
        <v>93.33333333333333</v>
      </c>
      <c r="N298" s="117">
        <f>46.66*40/60</f>
        <v>31.106666666666666</v>
      </c>
      <c r="O298" s="117">
        <f>2*40/60</f>
        <v>1.3333333333333333</v>
      </c>
    </row>
    <row r="299" spans="1:15" ht="14.25">
      <c r="A299" s="182">
        <v>110</v>
      </c>
      <c r="B299" s="173" t="s">
        <v>48</v>
      </c>
      <c r="C299" s="146">
        <v>18</v>
      </c>
      <c r="D299" s="146">
        <v>1.5375</v>
      </c>
      <c r="E299" s="146">
        <v>5.025</v>
      </c>
      <c r="F299" s="146">
        <v>11.4</v>
      </c>
      <c r="G299" s="146">
        <v>97.5</v>
      </c>
      <c r="H299" s="147">
        <v>6.675</v>
      </c>
      <c r="I299" s="147">
        <v>6.15</v>
      </c>
      <c r="J299" s="147">
        <v>7.605</v>
      </c>
      <c r="K299" s="147">
        <v>0.225</v>
      </c>
      <c r="L299" s="147">
        <v>24.3</v>
      </c>
      <c r="M299" s="147">
        <v>55.5</v>
      </c>
      <c r="N299" s="147">
        <v>7.5</v>
      </c>
      <c r="O299" s="148">
        <v>0.225</v>
      </c>
    </row>
    <row r="300" spans="1:15" ht="14.25">
      <c r="A300" s="193">
        <v>489</v>
      </c>
      <c r="B300" s="176" t="s">
        <v>124</v>
      </c>
      <c r="C300" s="193">
        <v>150</v>
      </c>
      <c r="D300" s="143">
        <v>13.05</v>
      </c>
      <c r="E300" s="143">
        <v>14.17</v>
      </c>
      <c r="F300" s="143">
        <v>11.18</v>
      </c>
      <c r="G300" s="143">
        <v>224.25</v>
      </c>
      <c r="H300" s="144">
        <v>0.36</v>
      </c>
      <c r="I300" s="144">
        <v>40.68</v>
      </c>
      <c r="J300" s="144">
        <v>0.288</v>
      </c>
      <c r="K300" s="144">
        <v>0.68</v>
      </c>
      <c r="L300" s="144">
        <v>52.92</v>
      </c>
      <c r="M300" s="144">
        <v>417.6</v>
      </c>
      <c r="N300" s="144">
        <v>81.7</v>
      </c>
      <c r="O300" s="144">
        <v>5.07</v>
      </c>
    </row>
    <row r="301" spans="1:16" ht="15.75">
      <c r="A301" s="29">
        <v>342</v>
      </c>
      <c r="B301" s="115" t="s">
        <v>123</v>
      </c>
      <c r="C301" s="192">
        <v>180</v>
      </c>
      <c r="D301" s="192">
        <v>0.075</v>
      </c>
      <c r="E301" s="192">
        <v>0.15</v>
      </c>
      <c r="F301" s="192">
        <v>20.62</v>
      </c>
      <c r="G301" s="192">
        <v>84.53</v>
      </c>
      <c r="H301" s="149">
        <f>0.014*150/180</f>
        <v>0.011666666666666667</v>
      </c>
      <c r="I301" s="149">
        <f>0.28*150/180</f>
        <v>0.23333333333333336</v>
      </c>
      <c r="J301" s="149">
        <f>163.4*150/180</f>
        <v>136.16666666666666</v>
      </c>
      <c r="K301" s="149">
        <f>0.76*150/180</f>
        <v>0.6333333333333333</v>
      </c>
      <c r="L301" s="149">
        <f>12.6*150/180</f>
        <v>10.5</v>
      </c>
      <c r="M301" s="149">
        <f>3.4*150/180</f>
        <v>2.8333333333333335</v>
      </c>
      <c r="N301" s="149">
        <f>3.4*150/180</f>
        <v>2.8333333333333335</v>
      </c>
      <c r="O301" s="149">
        <f>0.66*150/180</f>
        <v>0.55</v>
      </c>
      <c r="P301" s="100"/>
    </row>
    <row r="302" spans="1:15" ht="14.25">
      <c r="A302" s="26" t="s">
        <v>110</v>
      </c>
      <c r="B302" s="27" t="s">
        <v>112</v>
      </c>
      <c r="C302" s="29">
        <v>20</v>
      </c>
      <c r="D302" s="145">
        <v>1.34</v>
      </c>
      <c r="E302" s="145">
        <v>0.27</v>
      </c>
      <c r="F302" s="145">
        <v>8.07</v>
      </c>
      <c r="G302" s="145">
        <v>43.34</v>
      </c>
      <c r="H302" s="145">
        <v>0.05</v>
      </c>
      <c r="I302" s="145">
        <v>0</v>
      </c>
      <c r="J302" s="145">
        <v>0</v>
      </c>
      <c r="K302" s="145">
        <v>0.45</v>
      </c>
      <c r="L302" s="145">
        <v>7.5</v>
      </c>
      <c r="M302" s="145">
        <v>24.68</v>
      </c>
      <c r="N302" s="145">
        <v>5.32</v>
      </c>
      <c r="O302" s="145">
        <v>0.45</v>
      </c>
    </row>
    <row r="303" spans="1:16" ht="14.25">
      <c r="A303" s="26"/>
      <c r="B303" s="27" t="s">
        <v>21</v>
      </c>
      <c r="C303" s="114">
        <v>20</v>
      </c>
      <c r="D303" s="143">
        <f>2.02*20/30</f>
        <v>1.3466666666666667</v>
      </c>
      <c r="E303" s="143">
        <f>0.4*20/30</f>
        <v>0.26666666666666666</v>
      </c>
      <c r="F303" s="143">
        <f>12.1*20/30</f>
        <v>8.066666666666666</v>
      </c>
      <c r="G303" s="143">
        <f>65*20/30</f>
        <v>43.333333333333336</v>
      </c>
      <c r="H303" s="144">
        <f>0.05*20/30</f>
        <v>0.03333333333333333</v>
      </c>
      <c r="I303" s="144">
        <v>0</v>
      </c>
      <c r="J303" s="144">
        <v>0</v>
      </c>
      <c r="K303" s="144">
        <f>0.45*20/30</f>
        <v>0.3</v>
      </c>
      <c r="L303" s="144">
        <f>7.5*20/30</f>
        <v>5</v>
      </c>
      <c r="M303" s="144">
        <f>24.68*20/30</f>
        <v>16.453333333333333</v>
      </c>
      <c r="N303" s="144">
        <f>5.32*20/30</f>
        <v>3.546666666666667</v>
      </c>
      <c r="O303" s="144">
        <f>0.45*20/30</f>
        <v>0.3</v>
      </c>
      <c r="P303" s="98"/>
    </row>
    <row r="304" spans="1:15" ht="15">
      <c r="A304" s="144"/>
      <c r="B304" s="172" t="s">
        <v>26</v>
      </c>
      <c r="C304" s="34">
        <v>530</v>
      </c>
      <c r="D304" s="32">
        <f aca="true" t="shared" si="42" ref="D304:O304">SUM(D298:D303)</f>
        <v>18.949166666666667</v>
      </c>
      <c r="E304" s="32">
        <f t="shared" si="42"/>
        <v>20.14833333333333</v>
      </c>
      <c r="F304" s="32">
        <f t="shared" si="42"/>
        <v>66.67</v>
      </c>
      <c r="G304" s="32">
        <f t="shared" si="42"/>
        <v>526.2866666666667</v>
      </c>
      <c r="H304" s="32">
        <f t="shared" si="42"/>
        <v>38.19666666666666</v>
      </c>
      <c r="I304" s="32">
        <f t="shared" si="42"/>
        <v>47.13</v>
      </c>
      <c r="J304" s="32">
        <f t="shared" si="42"/>
        <v>144.08633333333333</v>
      </c>
      <c r="K304" s="32">
        <f t="shared" si="42"/>
        <v>2.6283333333333334</v>
      </c>
      <c r="L304" s="32">
        <f t="shared" si="42"/>
        <v>151.32666666666665</v>
      </c>
      <c r="M304" s="32">
        <f t="shared" si="42"/>
        <v>610.4000000000001</v>
      </c>
      <c r="N304" s="32">
        <f t="shared" si="42"/>
        <v>132.00666666666666</v>
      </c>
      <c r="O304" s="32">
        <f t="shared" si="42"/>
        <v>7.928333333333334</v>
      </c>
    </row>
    <row r="305" spans="1:15" ht="15" customHeight="1">
      <c r="A305" s="211" t="s">
        <v>65</v>
      </c>
      <c r="B305" s="212"/>
      <c r="C305" s="212"/>
      <c r="D305" s="212"/>
      <c r="E305" s="212"/>
      <c r="F305" s="212"/>
      <c r="G305" s="212"/>
      <c r="H305" s="212"/>
      <c r="I305" s="212"/>
      <c r="J305" s="212"/>
      <c r="K305" s="212"/>
      <c r="L305" s="212"/>
      <c r="M305" s="212"/>
      <c r="N305" s="212"/>
      <c r="O305" s="213"/>
    </row>
    <row r="306" spans="1:15" ht="14.25">
      <c r="A306" s="50"/>
      <c r="B306" s="172"/>
      <c r="C306" s="50"/>
      <c r="D306" s="94"/>
      <c r="E306" s="94"/>
      <c r="F306" s="94"/>
      <c r="G306" s="94"/>
      <c r="H306" s="94"/>
      <c r="I306" s="94"/>
      <c r="J306" s="95"/>
      <c r="K306" s="95"/>
      <c r="L306" s="95"/>
      <c r="M306" s="95"/>
      <c r="N306" s="95"/>
      <c r="O306" s="95"/>
    </row>
    <row r="307" spans="1:15" ht="14.25">
      <c r="A307" s="50" t="s">
        <v>111</v>
      </c>
      <c r="B307" s="172" t="s">
        <v>122</v>
      </c>
      <c r="C307" s="50">
        <v>50</v>
      </c>
      <c r="D307" s="143">
        <v>5.1</v>
      </c>
      <c r="E307" s="143">
        <v>5.3</v>
      </c>
      <c r="F307" s="143">
        <v>26.1</v>
      </c>
      <c r="G307" s="143">
        <v>174</v>
      </c>
      <c r="H307" s="144">
        <v>0.06</v>
      </c>
      <c r="I307" s="144">
        <v>1.31</v>
      </c>
      <c r="J307" s="144">
        <v>29.63</v>
      </c>
      <c r="K307" s="144">
        <v>1.25</v>
      </c>
      <c r="L307" s="144">
        <v>25.59</v>
      </c>
      <c r="M307" s="144">
        <v>52.13</v>
      </c>
      <c r="N307" s="144">
        <v>11.05</v>
      </c>
      <c r="O307" s="144">
        <v>0.75</v>
      </c>
    </row>
    <row r="308" spans="1:15" ht="14.25">
      <c r="A308" s="50">
        <v>686</v>
      </c>
      <c r="B308" s="172" t="s">
        <v>49</v>
      </c>
      <c r="C308" s="50">
        <v>180</v>
      </c>
      <c r="D308" s="143">
        <f>0.2*150/180</f>
        <v>0.16666666666666666</v>
      </c>
      <c r="E308" s="143">
        <v>0</v>
      </c>
      <c r="F308" s="143">
        <f>15*150/180</f>
        <v>12.5</v>
      </c>
      <c r="G308" s="143">
        <f>58*150/180</f>
        <v>48.333333333333336</v>
      </c>
      <c r="H308" s="144">
        <v>0</v>
      </c>
      <c r="I308" s="144">
        <f>2.2*150/180</f>
        <v>1.8333333333333333</v>
      </c>
      <c r="J308" s="144">
        <v>0</v>
      </c>
      <c r="K308" s="144">
        <v>0</v>
      </c>
      <c r="L308" s="144">
        <f>87*150/180</f>
        <v>72.5</v>
      </c>
      <c r="M308" s="144">
        <f>68*150/180</f>
        <v>56.666666666666664</v>
      </c>
      <c r="N308" s="144">
        <f>14*150/180</f>
        <v>11.666666666666666</v>
      </c>
      <c r="O308" s="144">
        <f>0.8*150/180</f>
        <v>0.6666666666666666</v>
      </c>
    </row>
    <row r="309" spans="1:15" ht="15">
      <c r="A309" s="144"/>
      <c r="B309" s="172" t="s">
        <v>26</v>
      </c>
      <c r="C309" s="34">
        <v>310</v>
      </c>
      <c r="D309" s="32">
        <f>SUM(D306:D308)</f>
        <v>5.266666666666667</v>
      </c>
      <c r="E309" s="32">
        <f aca="true" t="shared" si="43" ref="E309:O309">SUM(E306:E308)</f>
        <v>5.3</v>
      </c>
      <c r="F309" s="32">
        <f t="shared" si="43"/>
        <v>38.6</v>
      </c>
      <c r="G309" s="32">
        <f t="shared" si="43"/>
        <v>222.33333333333334</v>
      </c>
      <c r="H309" s="32">
        <f t="shared" si="43"/>
        <v>0.06</v>
      </c>
      <c r="I309" s="32">
        <f t="shared" si="43"/>
        <v>3.1433333333333335</v>
      </c>
      <c r="J309" s="32">
        <f t="shared" si="43"/>
        <v>29.63</v>
      </c>
      <c r="K309" s="32">
        <f t="shared" si="43"/>
        <v>1.25</v>
      </c>
      <c r="L309" s="32">
        <f t="shared" si="43"/>
        <v>98.09</v>
      </c>
      <c r="M309" s="32">
        <f t="shared" si="43"/>
        <v>108.79666666666667</v>
      </c>
      <c r="N309" s="32">
        <f t="shared" si="43"/>
        <v>22.71666666666667</v>
      </c>
      <c r="O309" s="32">
        <f t="shared" si="43"/>
        <v>1.4166666666666665</v>
      </c>
    </row>
    <row r="310" spans="1:15" ht="15">
      <c r="A310" s="144"/>
      <c r="B310" s="177" t="s">
        <v>27</v>
      </c>
      <c r="C310" s="144"/>
      <c r="D310" s="32">
        <f>D293+D304+D309+D296</f>
        <v>34.94083333333333</v>
      </c>
      <c r="E310" s="32">
        <f aca="true" t="shared" si="44" ref="E310:O310">E293+E304+E309+E296</f>
        <v>28.71833333333333</v>
      </c>
      <c r="F310" s="32">
        <f t="shared" si="44"/>
        <v>175.85</v>
      </c>
      <c r="G310" s="32">
        <f t="shared" si="44"/>
        <v>1091.89</v>
      </c>
      <c r="H310" s="32">
        <f t="shared" si="44"/>
        <v>38.30709999999999</v>
      </c>
      <c r="I310" s="32">
        <f t="shared" si="44"/>
        <v>57.022666666666666</v>
      </c>
      <c r="J310" s="32">
        <f t="shared" si="44"/>
        <v>174.19157833333333</v>
      </c>
      <c r="K310" s="32">
        <f t="shared" si="44"/>
        <v>4.272003333333333</v>
      </c>
      <c r="L310" s="32">
        <f t="shared" si="44"/>
        <v>339.0747716666667</v>
      </c>
      <c r="M310" s="32">
        <f t="shared" si="44"/>
        <v>792.3333181666667</v>
      </c>
      <c r="N310" s="32">
        <f t="shared" si="44"/>
        <v>172.35616666666667</v>
      </c>
      <c r="O310" s="32">
        <f t="shared" si="44"/>
        <v>33.97736666666666</v>
      </c>
    </row>
    <row r="311" spans="1:15" ht="15">
      <c r="A311" s="7"/>
      <c r="B311" s="186" t="s">
        <v>117</v>
      </c>
      <c r="C311" s="7"/>
      <c r="D311" s="3">
        <v>29.4</v>
      </c>
      <c r="E311" s="3">
        <v>32.9</v>
      </c>
      <c r="F311" s="3">
        <v>142.1</v>
      </c>
      <c r="G311" s="3">
        <v>980</v>
      </c>
      <c r="H311" s="43"/>
      <c r="I311" s="43"/>
      <c r="J311" s="43"/>
      <c r="K311" s="43"/>
      <c r="L311" s="43"/>
      <c r="M311" s="43"/>
      <c r="N311" s="43"/>
      <c r="O311" s="43"/>
    </row>
    <row r="312" spans="1:15" ht="128.25" customHeight="1">
      <c r="A312" s="7"/>
      <c r="B312" s="2"/>
      <c r="C312" s="7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1:15" ht="15" customHeight="1">
      <c r="A313" s="7"/>
      <c r="B313" s="2"/>
      <c r="C313" s="58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1:15" ht="30" customHeight="1">
      <c r="A314" s="200" t="s">
        <v>129</v>
      </c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</row>
    <row r="315" spans="1:15" ht="15" customHeight="1">
      <c r="A315" s="7"/>
      <c r="B315" s="2"/>
      <c r="C315" s="58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1:15" ht="14.25">
      <c r="A316" s="10" t="s">
        <v>0</v>
      </c>
      <c r="B316" s="9" t="s">
        <v>1</v>
      </c>
      <c r="C316" s="10" t="s">
        <v>2</v>
      </c>
      <c r="D316" s="201" t="s">
        <v>3</v>
      </c>
      <c r="E316" s="202"/>
      <c r="F316" s="203"/>
      <c r="G316" s="10" t="s">
        <v>4</v>
      </c>
      <c r="H316" s="201" t="s">
        <v>5</v>
      </c>
      <c r="I316" s="202"/>
      <c r="J316" s="202"/>
      <c r="K316" s="203"/>
      <c r="L316" s="201" t="s">
        <v>6</v>
      </c>
      <c r="M316" s="202"/>
      <c r="N316" s="202"/>
      <c r="O316" s="203"/>
    </row>
    <row r="317" spans="1:15" ht="18.75">
      <c r="A317" s="13" t="s">
        <v>7</v>
      </c>
      <c r="B317" s="14"/>
      <c r="C317" s="13"/>
      <c r="D317" s="13" t="s">
        <v>8</v>
      </c>
      <c r="E317" s="13" t="s">
        <v>9</v>
      </c>
      <c r="F317" s="13" t="s">
        <v>10</v>
      </c>
      <c r="G317" s="13" t="s">
        <v>11</v>
      </c>
      <c r="H317" s="15" t="s">
        <v>55</v>
      </c>
      <c r="I317" s="15" t="s">
        <v>12</v>
      </c>
      <c r="J317" s="15" t="s">
        <v>13</v>
      </c>
      <c r="K317" s="15" t="s">
        <v>14</v>
      </c>
      <c r="L317" s="16" t="s">
        <v>15</v>
      </c>
      <c r="M317" s="16" t="s">
        <v>16</v>
      </c>
      <c r="N317" s="16" t="s">
        <v>17</v>
      </c>
      <c r="O317" s="16" t="s">
        <v>18</v>
      </c>
    </row>
    <row r="318" spans="1:15" ht="14.25">
      <c r="A318" s="15">
        <v>1</v>
      </c>
      <c r="B318" s="11">
        <v>2</v>
      </c>
      <c r="C318" s="12">
        <v>3</v>
      </c>
      <c r="D318" s="11">
        <v>4</v>
      </c>
      <c r="E318" s="11">
        <v>5</v>
      </c>
      <c r="F318" s="11">
        <v>6</v>
      </c>
      <c r="G318" s="11">
        <v>7</v>
      </c>
      <c r="H318" s="15">
        <v>8</v>
      </c>
      <c r="I318" s="15">
        <v>9</v>
      </c>
      <c r="J318" s="15">
        <v>10</v>
      </c>
      <c r="K318" s="15">
        <v>11</v>
      </c>
      <c r="L318" s="16">
        <v>12</v>
      </c>
      <c r="M318" s="16">
        <v>13</v>
      </c>
      <c r="N318" s="16">
        <v>14</v>
      </c>
      <c r="O318" s="16">
        <v>15</v>
      </c>
    </row>
    <row r="319" spans="1:15" ht="15">
      <c r="A319" s="20"/>
      <c r="B319" s="21" t="s">
        <v>42</v>
      </c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1:15" ht="15">
      <c r="A320" s="19" t="s">
        <v>19</v>
      </c>
      <c r="B320" s="21"/>
      <c r="C320" s="20"/>
      <c r="D320" s="197" t="s">
        <v>24</v>
      </c>
      <c r="E320" s="197"/>
      <c r="F320" s="19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1:15" ht="27.75" customHeight="1">
      <c r="A321" s="199" t="s">
        <v>51</v>
      </c>
      <c r="B321" s="19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1:15" ht="15">
      <c r="A322" s="35"/>
      <c r="B322" s="5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 ht="14.25">
      <c r="A323" s="111">
        <v>161</v>
      </c>
      <c r="B323" s="118" t="s">
        <v>83</v>
      </c>
      <c r="C323" s="38">
        <v>170</v>
      </c>
      <c r="D323" s="134">
        <v>5.8</v>
      </c>
      <c r="E323" s="134">
        <v>7.2</v>
      </c>
      <c r="F323" s="134">
        <v>21.4</v>
      </c>
      <c r="G323" s="134">
        <v>190</v>
      </c>
      <c r="H323" s="116">
        <v>0.13</v>
      </c>
      <c r="I323" s="116">
        <v>0.24</v>
      </c>
      <c r="J323" s="117">
        <v>68.75</v>
      </c>
      <c r="K323" s="117">
        <v>0.69</v>
      </c>
      <c r="L323" s="117">
        <v>148.93</v>
      </c>
      <c r="M323" s="117">
        <v>185.11</v>
      </c>
      <c r="N323" s="117">
        <v>21.3</v>
      </c>
      <c r="O323" s="117">
        <v>7.17</v>
      </c>
    </row>
    <row r="324" spans="1:15" ht="14.25">
      <c r="A324" s="26" t="s">
        <v>111</v>
      </c>
      <c r="B324" s="27" t="s">
        <v>104</v>
      </c>
      <c r="C324" s="114">
        <v>30</v>
      </c>
      <c r="D324" s="143">
        <v>2.25</v>
      </c>
      <c r="E324" s="143">
        <v>0.87</v>
      </c>
      <c r="F324" s="143">
        <v>15.27</v>
      </c>
      <c r="G324" s="143">
        <v>79.2</v>
      </c>
      <c r="H324" s="144">
        <f>0.05*20/30</f>
        <v>0.03333333333333333</v>
      </c>
      <c r="I324" s="144">
        <v>0</v>
      </c>
      <c r="J324" s="144">
        <v>0</v>
      </c>
      <c r="K324" s="144">
        <f>0.45*20/30</f>
        <v>0.3</v>
      </c>
      <c r="L324" s="144">
        <f>7.5*20/30</f>
        <v>5</v>
      </c>
      <c r="M324" s="144">
        <f>24.68*20/30</f>
        <v>16.453333333333333</v>
      </c>
      <c r="N324" s="144">
        <f>5.32*20/30</f>
        <v>3.546666666666667</v>
      </c>
      <c r="O324" s="144">
        <f>0.45*20/30</f>
        <v>0.3</v>
      </c>
    </row>
    <row r="325" spans="1:15" ht="14.25">
      <c r="A325" s="29">
        <v>692</v>
      </c>
      <c r="B325" s="28" t="s">
        <v>100</v>
      </c>
      <c r="C325" s="29">
        <v>180</v>
      </c>
      <c r="D325" s="145">
        <v>1.87</v>
      </c>
      <c r="E325" s="116">
        <v>2.7</v>
      </c>
      <c r="F325" s="145">
        <v>21.52</v>
      </c>
      <c r="G325" s="145">
        <v>114</v>
      </c>
      <c r="H325" s="94">
        <v>0.02</v>
      </c>
      <c r="I325" s="94">
        <v>0.65</v>
      </c>
      <c r="J325" s="95">
        <v>0.01</v>
      </c>
      <c r="K325" s="95">
        <v>0</v>
      </c>
      <c r="L325" s="95">
        <v>60.4</v>
      </c>
      <c r="M325" s="95">
        <v>45</v>
      </c>
      <c r="N325" s="95">
        <v>7</v>
      </c>
      <c r="O325" s="95">
        <v>0.9</v>
      </c>
    </row>
    <row r="326" spans="1:15" ht="15">
      <c r="A326" s="17"/>
      <c r="B326" s="31" t="s">
        <v>26</v>
      </c>
      <c r="C326" s="40">
        <v>350</v>
      </c>
      <c r="D326" s="32">
        <f aca="true" t="shared" si="45" ref="D326:O326">SUM(D323:D325)</f>
        <v>9.920000000000002</v>
      </c>
      <c r="E326" s="32">
        <f t="shared" si="45"/>
        <v>10.77</v>
      </c>
      <c r="F326" s="32">
        <f t="shared" si="45"/>
        <v>58.19</v>
      </c>
      <c r="G326" s="32">
        <f t="shared" si="45"/>
        <v>383.2</v>
      </c>
      <c r="H326" s="32">
        <f t="shared" si="45"/>
        <v>0.18333333333333332</v>
      </c>
      <c r="I326" s="32">
        <f t="shared" si="45"/>
        <v>0.89</v>
      </c>
      <c r="J326" s="32">
        <f t="shared" si="45"/>
        <v>68.76</v>
      </c>
      <c r="K326" s="32">
        <f t="shared" si="45"/>
        <v>0.99</v>
      </c>
      <c r="L326" s="32">
        <f t="shared" si="45"/>
        <v>214.33</v>
      </c>
      <c r="M326" s="32">
        <f t="shared" si="45"/>
        <v>246.56333333333333</v>
      </c>
      <c r="N326" s="32">
        <f t="shared" si="45"/>
        <v>31.846666666666668</v>
      </c>
      <c r="O326" s="32">
        <f t="shared" si="45"/>
        <v>8.37</v>
      </c>
    </row>
    <row r="327" spans="1:15" ht="15" customHeight="1">
      <c r="A327" s="194" t="s">
        <v>101</v>
      </c>
      <c r="B327" s="216"/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7"/>
    </row>
    <row r="328" spans="1:15" ht="14.25">
      <c r="A328" s="110">
        <v>338</v>
      </c>
      <c r="B328" s="31" t="s">
        <v>64</v>
      </c>
      <c r="C328" s="17">
        <v>100</v>
      </c>
      <c r="D328" s="150">
        <v>0.5333333333333333</v>
      </c>
      <c r="E328" s="150">
        <v>0.5333333333333333</v>
      </c>
      <c r="F328" s="150">
        <v>13.066666666666668</v>
      </c>
      <c r="G328" s="150">
        <v>58.666666666666664</v>
      </c>
      <c r="H328" s="150">
        <v>0.04</v>
      </c>
      <c r="I328" s="150">
        <v>13.333333333333334</v>
      </c>
      <c r="J328" s="151">
        <v>0</v>
      </c>
      <c r="K328" s="151">
        <v>0</v>
      </c>
      <c r="L328" s="151">
        <v>21.333333333333332</v>
      </c>
      <c r="M328" s="151">
        <v>22</v>
      </c>
      <c r="N328" s="151">
        <v>12</v>
      </c>
      <c r="O328" s="151">
        <v>2.9333333333333336</v>
      </c>
    </row>
    <row r="329" spans="1:15" ht="15">
      <c r="A329" s="17"/>
      <c r="B329" s="31" t="s">
        <v>26</v>
      </c>
      <c r="C329" s="40">
        <v>100</v>
      </c>
      <c r="D329" s="135">
        <f aca="true" t="shared" si="46" ref="D329:O329">SUM(D328)</f>
        <v>0.5333333333333333</v>
      </c>
      <c r="E329" s="135">
        <f t="shared" si="46"/>
        <v>0.5333333333333333</v>
      </c>
      <c r="F329" s="135">
        <f t="shared" si="46"/>
        <v>13.066666666666668</v>
      </c>
      <c r="G329" s="135">
        <f t="shared" si="46"/>
        <v>58.666666666666664</v>
      </c>
      <c r="H329" s="135">
        <f t="shared" si="46"/>
        <v>0.04</v>
      </c>
      <c r="I329" s="135">
        <f t="shared" si="46"/>
        <v>13.333333333333334</v>
      </c>
      <c r="J329" s="135">
        <f t="shared" si="46"/>
        <v>0</v>
      </c>
      <c r="K329" s="135">
        <f t="shared" si="46"/>
        <v>0</v>
      </c>
      <c r="L329" s="135">
        <f t="shared" si="46"/>
        <v>21.333333333333332</v>
      </c>
      <c r="M329" s="135">
        <f t="shared" si="46"/>
        <v>22</v>
      </c>
      <c r="N329" s="135">
        <f t="shared" si="46"/>
        <v>12</v>
      </c>
      <c r="O329" s="135">
        <f t="shared" si="46"/>
        <v>2.9333333333333336</v>
      </c>
    </row>
    <row r="330" spans="1:15" ht="15">
      <c r="A330" s="7"/>
      <c r="B330" s="2"/>
      <c r="C330" s="7"/>
      <c r="D330" s="35" t="s">
        <v>22</v>
      </c>
      <c r="E330" s="35"/>
      <c r="F330" s="35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4.25">
      <c r="A331" s="29">
        <v>33</v>
      </c>
      <c r="B331" s="23" t="s">
        <v>108</v>
      </c>
      <c r="C331" s="25">
        <v>50</v>
      </c>
      <c r="D331" s="116">
        <v>0.71</v>
      </c>
      <c r="E331" s="116">
        <v>3.04</v>
      </c>
      <c r="F331" s="116">
        <v>4.18</v>
      </c>
      <c r="G331" s="116">
        <v>46.95</v>
      </c>
      <c r="H331" s="116">
        <v>0.009</v>
      </c>
      <c r="I331" s="116">
        <f>0.1*40/60</f>
        <v>0.06666666666666667</v>
      </c>
      <c r="J331" s="117">
        <f>0.04*40/60</f>
        <v>0.02666666666666667</v>
      </c>
      <c r="K331" s="117">
        <v>0.34</v>
      </c>
      <c r="L331" s="117">
        <v>17.57</v>
      </c>
      <c r="M331" s="117">
        <f>140*40/60</f>
        <v>93.33333333333333</v>
      </c>
      <c r="N331" s="117">
        <f>46.66*40/60</f>
        <v>31.106666666666666</v>
      </c>
      <c r="O331" s="117">
        <v>0.66</v>
      </c>
    </row>
    <row r="332" spans="1:15" ht="14.25">
      <c r="A332" s="29">
        <v>132</v>
      </c>
      <c r="B332" s="37" t="s">
        <v>61</v>
      </c>
      <c r="C332" s="29" t="s">
        <v>125</v>
      </c>
      <c r="D332" s="143">
        <v>2.25</v>
      </c>
      <c r="E332" s="143">
        <v>3.375</v>
      </c>
      <c r="F332" s="143">
        <v>15.075</v>
      </c>
      <c r="G332" s="143">
        <v>101.25</v>
      </c>
      <c r="H332" s="144">
        <v>0</v>
      </c>
      <c r="I332" s="144">
        <v>3.525</v>
      </c>
      <c r="J332" s="144">
        <v>0</v>
      </c>
      <c r="K332" s="144">
        <v>0.225</v>
      </c>
      <c r="L332" s="144">
        <v>13.5</v>
      </c>
      <c r="M332" s="144">
        <v>57.75</v>
      </c>
      <c r="N332" s="144">
        <v>9.75</v>
      </c>
      <c r="O332" s="144">
        <v>0.3</v>
      </c>
    </row>
    <row r="333" spans="1:15" ht="14.25">
      <c r="A333" s="29">
        <v>478</v>
      </c>
      <c r="B333" s="28" t="s">
        <v>107</v>
      </c>
      <c r="C333" s="29">
        <v>125</v>
      </c>
      <c r="D333" s="143">
        <v>10</v>
      </c>
      <c r="E333" s="143">
        <v>9.8</v>
      </c>
      <c r="F333" s="143">
        <v>16.5</v>
      </c>
      <c r="G333" s="143">
        <v>198</v>
      </c>
      <c r="H333" s="144">
        <v>0.045</v>
      </c>
      <c r="I333" s="144">
        <v>0.3075</v>
      </c>
      <c r="J333" s="144">
        <v>48.84</v>
      </c>
      <c r="K333" s="144">
        <v>0.5325</v>
      </c>
      <c r="L333" s="144">
        <v>47.67</v>
      </c>
      <c r="M333" s="144">
        <v>47.114999999999995</v>
      </c>
      <c r="N333" s="144">
        <v>9.6975</v>
      </c>
      <c r="O333" s="144">
        <v>17.384999999999998</v>
      </c>
    </row>
    <row r="334" spans="1:15" ht="15.75" customHeight="1">
      <c r="A334" s="29">
        <v>639</v>
      </c>
      <c r="B334" s="28" t="s">
        <v>32</v>
      </c>
      <c r="C334" s="29">
        <v>180</v>
      </c>
      <c r="D334" s="145">
        <f>0.097*150/180</f>
        <v>0.08083333333333334</v>
      </c>
      <c r="E334" s="145">
        <f>0.039*150/180</f>
        <v>0.0325</v>
      </c>
      <c r="F334" s="145">
        <f>21.512*150/180</f>
        <v>17.92666666666667</v>
      </c>
      <c r="G334" s="145">
        <f>86.785*150/180</f>
        <v>72.32083333333334</v>
      </c>
      <c r="H334" s="145">
        <f>0.002*150/180</f>
        <v>0.0016666666666666666</v>
      </c>
      <c r="I334" s="145">
        <f>0.058*150/180</f>
        <v>0.04833333333333334</v>
      </c>
      <c r="J334" s="145">
        <f>1.358*150/180</f>
        <v>1.1316666666666668</v>
      </c>
      <c r="K334" s="145">
        <f>0.058*150/180</f>
        <v>0.04833333333333334</v>
      </c>
      <c r="L334" s="145">
        <f>7.584*150/180</f>
        <v>6.319999999999999</v>
      </c>
      <c r="M334" s="145">
        <f>4.462*150/180</f>
        <v>3.7183333333333333</v>
      </c>
      <c r="N334" s="145">
        <f>1.746*150/180</f>
        <v>1.4549999999999998</v>
      </c>
      <c r="O334" s="145">
        <f>0.157*150/180</f>
        <v>0.13083333333333333</v>
      </c>
    </row>
    <row r="335" spans="1:15" ht="14.25">
      <c r="A335" s="26" t="s">
        <v>110</v>
      </c>
      <c r="B335" s="27" t="s">
        <v>112</v>
      </c>
      <c r="C335" s="29">
        <v>20</v>
      </c>
      <c r="D335" s="145">
        <v>1.34</v>
      </c>
      <c r="E335" s="145">
        <v>0.27</v>
      </c>
      <c r="F335" s="145">
        <v>8.07</v>
      </c>
      <c r="G335" s="145">
        <v>43.34</v>
      </c>
      <c r="H335" s="145">
        <v>0.05</v>
      </c>
      <c r="I335" s="145">
        <v>0</v>
      </c>
      <c r="J335" s="145">
        <v>0</v>
      </c>
      <c r="K335" s="145">
        <v>0.45</v>
      </c>
      <c r="L335" s="145">
        <v>7.5</v>
      </c>
      <c r="M335" s="145">
        <v>24.68</v>
      </c>
      <c r="N335" s="145">
        <v>5.32</v>
      </c>
      <c r="O335" s="145">
        <v>0.45</v>
      </c>
    </row>
    <row r="336" spans="1:16" ht="14.25">
      <c r="A336" s="26"/>
      <c r="B336" s="27" t="s">
        <v>21</v>
      </c>
      <c r="C336" s="114">
        <v>20</v>
      </c>
      <c r="D336" s="143">
        <f>2.02*20/30</f>
        <v>1.3466666666666667</v>
      </c>
      <c r="E336" s="143">
        <f>0.4*20/30</f>
        <v>0.26666666666666666</v>
      </c>
      <c r="F336" s="143">
        <f>12.1*20/30</f>
        <v>8.066666666666666</v>
      </c>
      <c r="G336" s="143">
        <f>65*20/30</f>
        <v>43.333333333333336</v>
      </c>
      <c r="H336" s="144">
        <f>0.05*20/30</f>
        <v>0.03333333333333333</v>
      </c>
      <c r="I336" s="144">
        <v>0</v>
      </c>
      <c r="J336" s="144">
        <v>0</v>
      </c>
      <c r="K336" s="144">
        <f>0.45*20/30</f>
        <v>0.3</v>
      </c>
      <c r="L336" s="144">
        <f>7.5*20/30</f>
        <v>5</v>
      </c>
      <c r="M336" s="144">
        <f>24.68*20/30</f>
        <v>16.453333333333333</v>
      </c>
      <c r="N336" s="144">
        <f>5.32*20/30</f>
        <v>3.546666666666667</v>
      </c>
      <c r="O336" s="144">
        <f>0.45*20/30</f>
        <v>0.3</v>
      </c>
      <c r="P336" s="98"/>
    </row>
    <row r="337" spans="1:18" ht="15">
      <c r="A337" s="17"/>
      <c r="B337" s="31" t="s">
        <v>26</v>
      </c>
      <c r="C337" s="40">
        <v>505</v>
      </c>
      <c r="D337" s="32">
        <f aca="true" t="shared" si="47" ref="D337:O337">SUM(D331:D336)</f>
        <v>15.7275</v>
      </c>
      <c r="E337" s="32">
        <f t="shared" si="47"/>
        <v>16.784166666666664</v>
      </c>
      <c r="F337" s="32">
        <f t="shared" si="47"/>
        <v>69.81833333333333</v>
      </c>
      <c r="G337" s="32">
        <f t="shared" si="47"/>
        <v>505.1941666666666</v>
      </c>
      <c r="H337" s="32">
        <f t="shared" si="47"/>
        <v>0.13899999999999998</v>
      </c>
      <c r="I337" s="32">
        <f t="shared" si="47"/>
        <v>3.9475000000000002</v>
      </c>
      <c r="J337" s="32">
        <f t="shared" si="47"/>
        <v>49.998333333333335</v>
      </c>
      <c r="K337" s="32">
        <f t="shared" si="47"/>
        <v>1.8958333333333335</v>
      </c>
      <c r="L337" s="32">
        <f t="shared" si="47"/>
        <v>97.56</v>
      </c>
      <c r="M337" s="32">
        <f t="shared" si="47"/>
        <v>243.05</v>
      </c>
      <c r="N337" s="32">
        <f t="shared" si="47"/>
        <v>60.87583333333333</v>
      </c>
      <c r="O337" s="32">
        <f t="shared" si="47"/>
        <v>19.22583333333333</v>
      </c>
      <c r="R337" s="107"/>
    </row>
    <row r="338" spans="1:15" ht="15" customHeight="1">
      <c r="A338" s="194" t="s">
        <v>65</v>
      </c>
      <c r="B338" s="195"/>
      <c r="C338" s="195"/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6"/>
    </row>
    <row r="339" spans="1:18" ht="15">
      <c r="A339" s="29">
        <v>773</v>
      </c>
      <c r="B339" s="28" t="s">
        <v>93</v>
      </c>
      <c r="C339" s="30" t="s">
        <v>94</v>
      </c>
      <c r="D339" s="130">
        <v>3.7</v>
      </c>
      <c r="E339" s="130">
        <v>2.4</v>
      </c>
      <c r="F339" s="130">
        <v>24.4</v>
      </c>
      <c r="G339" s="130">
        <v>135</v>
      </c>
      <c r="H339" s="130">
        <v>0.03</v>
      </c>
      <c r="I339" s="130">
        <v>0</v>
      </c>
      <c r="J339" s="130">
        <v>7.27</v>
      </c>
      <c r="K339" s="130">
        <v>0.58</v>
      </c>
      <c r="L339" s="130">
        <v>7.11</v>
      </c>
      <c r="M339" s="130">
        <v>23.38</v>
      </c>
      <c r="N339" s="130">
        <v>4.87</v>
      </c>
      <c r="O339" s="130">
        <v>0.39</v>
      </c>
      <c r="R339" s="107"/>
    </row>
    <row r="340" spans="1:18" ht="15">
      <c r="A340" s="29">
        <v>685</v>
      </c>
      <c r="B340" s="31" t="s">
        <v>20</v>
      </c>
      <c r="C340" s="17">
        <v>180</v>
      </c>
      <c r="D340" s="152">
        <f>0.2*150/180</f>
        <v>0.16666666666666666</v>
      </c>
      <c r="E340" s="152">
        <v>0</v>
      </c>
      <c r="F340" s="152">
        <f>15*150/180</f>
        <v>12.5</v>
      </c>
      <c r="G340" s="152">
        <f>58*150/180</f>
        <v>48.333333333333336</v>
      </c>
      <c r="H340" s="153">
        <v>0</v>
      </c>
      <c r="I340" s="153">
        <f>2.2*150/180</f>
        <v>1.8333333333333333</v>
      </c>
      <c r="J340" s="153">
        <v>0</v>
      </c>
      <c r="K340" s="153">
        <v>0</v>
      </c>
      <c r="L340" s="153">
        <f>87*150/180</f>
        <v>72.5</v>
      </c>
      <c r="M340" s="153">
        <f>68*150/180</f>
        <v>56.666666666666664</v>
      </c>
      <c r="N340" s="153">
        <f>14*150/180</f>
        <v>11.666666666666666</v>
      </c>
      <c r="O340" s="153">
        <f>0.8*150/180</f>
        <v>0.6666666666666666</v>
      </c>
      <c r="R340" s="107"/>
    </row>
    <row r="341" spans="1:18" ht="15">
      <c r="A341" s="110"/>
      <c r="B341" s="31"/>
      <c r="C341" s="17"/>
      <c r="D341" s="150"/>
      <c r="E341" s="150"/>
      <c r="F341" s="150"/>
      <c r="G341" s="150"/>
      <c r="H341" s="150"/>
      <c r="I341" s="150"/>
      <c r="J341" s="151"/>
      <c r="K341" s="151"/>
      <c r="L341" s="151"/>
      <c r="M341" s="151"/>
      <c r="N341" s="151"/>
      <c r="O341" s="151"/>
      <c r="R341" s="107"/>
    </row>
    <row r="342" spans="1:18" ht="15">
      <c r="A342" s="110"/>
      <c r="B342" s="31" t="s">
        <v>26</v>
      </c>
      <c r="C342" s="40">
        <v>325</v>
      </c>
      <c r="D342" s="154">
        <f>SUM(D339:D341)</f>
        <v>3.8666666666666667</v>
      </c>
      <c r="E342" s="154">
        <f aca="true" t="shared" si="48" ref="E342:O342">SUM(E339:E341)</f>
        <v>2.4</v>
      </c>
      <c r="F342" s="154">
        <f t="shared" si="48"/>
        <v>36.9</v>
      </c>
      <c r="G342" s="154">
        <f t="shared" si="48"/>
        <v>183.33333333333334</v>
      </c>
      <c r="H342" s="154">
        <f t="shared" si="48"/>
        <v>0.03</v>
      </c>
      <c r="I342" s="154">
        <f t="shared" si="48"/>
        <v>1.8333333333333333</v>
      </c>
      <c r="J342" s="154">
        <f t="shared" si="48"/>
        <v>7.27</v>
      </c>
      <c r="K342" s="154">
        <f t="shared" si="48"/>
        <v>0.58</v>
      </c>
      <c r="L342" s="154">
        <f t="shared" si="48"/>
        <v>79.61</v>
      </c>
      <c r="M342" s="154">
        <f t="shared" si="48"/>
        <v>80.04666666666667</v>
      </c>
      <c r="N342" s="154">
        <f t="shared" si="48"/>
        <v>16.536666666666665</v>
      </c>
      <c r="O342" s="154">
        <f t="shared" si="48"/>
        <v>1.0566666666666666</v>
      </c>
      <c r="R342" s="107"/>
    </row>
    <row r="343" spans="1:15" ht="15">
      <c r="A343" s="110"/>
      <c r="B343" s="22" t="s">
        <v>27</v>
      </c>
      <c r="C343" s="17"/>
      <c r="D343" s="154">
        <f>D326+D337+D342+D329</f>
        <v>30.047500000000003</v>
      </c>
      <c r="E343" s="154">
        <f aca="true" t="shared" si="49" ref="E343:O343">E326+E337+E342+E329</f>
        <v>30.487499999999997</v>
      </c>
      <c r="F343" s="154">
        <f t="shared" si="49"/>
        <v>177.975</v>
      </c>
      <c r="G343" s="154">
        <f t="shared" si="49"/>
        <v>1130.3941666666667</v>
      </c>
      <c r="H343" s="154">
        <f t="shared" si="49"/>
        <v>0.39233333333333326</v>
      </c>
      <c r="I343" s="154">
        <f t="shared" si="49"/>
        <v>20.004166666666666</v>
      </c>
      <c r="J343" s="154">
        <f t="shared" si="49"/>
        <v>126.02833333333334</v>
      </c>
      <c r="K343" s="154">
        <f t="shared" si="49"/>
        <v>3.4658333333333333</v>
      </c>
      <c r="L343" s="154">
        <f t="shared" si="49"/>
        <v>412.8333333333333</v>
      </c>
      <c r="M343" s="154">
        <f t="shared" si="49"/>
        <v>591.66</v>
      </c>
      <c r="N343" s="154">
        <f t="shared" si="49"/>
        <v>121.25916666666666</v>
      </c>
      <c r="O343" s="154">
        <f t="shared" si="49"/>
        <v>31.58583333333333</v>
      </c>
    </row>
    <row r="344" spans="1:15" ht="15">
      <c r="A344" s="17"/>
      <c r="B344" s="86" t="s">
        <v>50</v>
      </c>
      <c r="C344" s="17"/>
      <c r="D344" s="154">
        <f>D343+D310+D277+D241+D205+D171+D138+D104+D70+D33</f>
        <v>359.6972121212122</v>
      </c>
      <c r="E344" s="154">
        <f>E343+E310+E277+E241+E205+E171+E138+E104+E70+E33</f>
        <v>386.91398484848486</v>
      </c>
      <c r="F344" s="154">
        <f>F343+F310+F277+F241+F205+F171+F138+F104+F70+F33</f>
        <v>1777.2020454545454</v>
      </c>
      <c r="G344" s="154">
        <f>G343+G310+G277+G241+G205+G171+G138+G104+G70+G33</f>
        <v>11273.64681818182</v>
      </c>
      <c r="H344" s="154"/>
      <c r="I344" s="154"/>
      <c r="J344" s="154"/>
      <c r="K344" s="154"/>
      <c r="L344" s="154"/>
      <c r="M344" s="154"/>
      <c r="N344" s="154"/>
      <c r="O344" s="154"/>
    </row>
    <row r="345" spans="1:17" ht="15">
      <c r="A345" s="17"/>
      <c r="B345" s="86" t="s">
        <v>29</v>
      </c>
      <c r="C345" s="17"/>
      <c r="D345" s="154">
        <f>D344/10</f>
        <v>35.96972121212122</v>
      </c>
      <c r="E345" s="154">
        <f>E344/10</f>
        <v>38.691398484848484</v>
      </c>
      <c r="F345" s="154">
        <f>F344/10</f>
        <v>177.72020454545455</v>
      </c>
      <c r="G345" s="154">
        <f>G344/10</f>
        <v>1127.364681818182</v>
      </c>
      <c r="H345" s="154"/>
      <c r="I345" s="154"/>
      <c r="J345" s="154"/>
      <c r="K345" s="154"/>
      <c r="L345" s="154"/>
      <c r="M345" s="154"/>
      <c r="N345" s="154"/>
      <c r="O345" s="154"/>
      <c r="P345" s="85"/>
      <c r="Q345" s="185"/>
    </row>
    <row r="346" spans="1:17" ht="15">
      <c r="A346" s="7"/>
      <c r="B346" s="186" t="s">
        <v>117</v>
      </c>
      <c r="C346" s="7"/>
      <c r="D346" s="3">
        <v>29.4</v>
      </c>
      <c r="E346" s="3">
        <v>32.9</v>
      </c>
      <c r="F346" s="3">
        <v>142.1</v>
      </c>
      <c r="G346" s="3">
        <v>980</v>
      </c>
      <c r="H346" s="43"/>
      <c r="I346" s="43"/>
      <c r="J346" s="43"/>
      <c r="K346" s="43"/>
      <c r="L346" s="43"/>
      <c r="M346" s="43"/>
      <c r="N346" s="43"/>
      <c r="O346" s="43"/>
      <c r="P346" s="85"/>
      <c r="Q346" s="98"/>
    </row>
    <row r="347" spans="1:17" ht="15">
      <c r="A347" s="7"/>
      <c r="B347" s="87"/>
      <c r="C347" s="7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85"/>
      <c r="Q347" s="98"/>
    </row>
    <row r="348" spans="1:17" ht="178.5" customHeight="1">
      <c r="A348" s="7"/>
      <c r="B348" s="87"/>
      <c r="C348" s="7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85"/>
      <c r="Q348" s="98"/>
    </row>
    <row r="349" spans="1:17" ht="15">
      <c r="A349" s="7"/>
      <c r="B349" s="2"/>
      <c r="C349" s="58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85"/>
      <c r="Q349" s="98"/>
    </row>
    <row r="350" spans="1:15" ht="15">
      <c r="A350" s="7"/>
      <c r="B350" s="2"/>
      <c r="C350" s="58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1:15" ht="41.25" customHeight="1">
      <c r="A351" s="7"/>
      <c r="B351" s="2"/>
      <c r="C351" s="58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1:15" ht="15">
      <c r="A352" s="7"/>
      <c r="B352" s="2"/>
      <c r="C352" s="35"/>
      <c r="D352" s="35"/>
      <c r="E352" s="35"/>
      <c r="F352" s="35"/>
      <c r="G352" s="35"/>
      <c r="H352" s="7"/>
      <c r="I352" s="7"/>
      <c r="J352" s="7"/>
      <c r="K352" s="7"/>
      <c r="L352" s="7"/>
      <c r="M352" s="7"/>
      <c r="N352" s="7"/>
      <c r="O352" s="7"/>
    </row>
    <row r="353" spans="1:15" ht="15">
      <c r="A353" s="7"/>
      <c r="B353" s="59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5">
      <c r="A354" s="198"/>
      <c r="B354" s="198"/>
      <c r="C354" s="7"/>
      <c r="D354" s="35"/>
      <c r="E354" s="35"/>
      <c r="F354" s="35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5">
      <c r="A355" s="198"/>
      <c r="B355" s="19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5">
      <c r="A356" s="35"/>
      <c r="B356" s="59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5">
      <c r="A357" s="5"/>
      <c r="B357" s="1"/>
      <c r="C357" s="5"/>
      <c r="D357" s="5"/>
      <c r="E357" s="5"/>
      <c r="F357" s="5"/>
      <c r="G357" s="5"/>
      <c r="H357" s="7"/>
      <c r="I357" s="7"/>
      <c r="J357" s="7"/>
      <c r="K357" s="7"/>
      <c r="L357" s="7"/>
      <c r="M357" s="7"/>
      <c r="N357" s="7"/>
      <c r="O357" s="43"/>
    </row>
    <row r="358" spans="1:15" ht="14.25">
      <c r="A358" s="5"/>
      <c r="B358" s="1"/>
      <c r="C358" s="5"/>
      <c r="D358" s="5"/>
      <c r="E358" s="5"/>
      <c r="F358" s="5"/>
      <c r="G358" s="5"/>
      <c r="H358" s="7"/>
      <c r="I358" s="7"/>
      <c r="J358" s="7"/>
      <c r="K358" s="7"/>
      <c r="L358" s="7"/>
      <c r="M358" s="7"/>
      <c r="N358" s="7"/>
      <c r="O358" s="7"/>
    </row>
    <row r="359" spans="1:15" ht="14.25">
      <c r="A359" s="5"/>
      <c r="B359" s="1"/>
      <c r="C359" s="5"/>
      <c r="D359" s="5"/>
      <c r="E359" s="5"/>
      <c r="F359" s="5"/>
      <c r="G359" s="5"/>
      <c r="H359" s="7"/>
      <c r="I359" s="7"/>
      <c r="J359" s="7"/>
      <c r="K359" s="7"/>
      <c r="L359" s="7"/>
      <c r="M359" s="7"/>
      <c r="N359" s="7"/>
      <c r="O359" s="7"/>
    </row>
    <row r="360" spans="1:15" ht="14.25">
      <c r="A360" s="5"/>
      <c r="B360" s="1"/>
      <c r="C360" s="5"/>
      <c r="D360" s="5"/>
      <c r="E360" s="5"/>
      <c r="F360" s="5"/>
      <c r="G360" s="5"/>
      <c r="H360" s="7"/>
      <c r="I360" s="7"/>
      <c r="J360" s="7"/>
      <c r="K360" s="7"/>
      <c r="L360" s="7"/>
      <c r="M360" s="7"/>
      <c r="N360" s="7"/>
      <c r="O360" s="7"/>
    </row>
    <row r="361" spans="1:15" ht="14.25">
      <c r="A361" s="5"/>
      <c r="B361" s="1"/>
      <c r="C361" s="4"/>
      <c r="D361" s="5"/>
      <c r="E361" s="5"/>
      <c r="F361" s="5"/>
      <c r="G361" s="5"/>
      <c r="H361" s="7"/>
      <c r="I361" s="7"/>
      <c r="J361" s="7"/>
      <c r="K361" s="7"/>
      <c r="L361" s="7"/>
      <c r="M361" s="7"/>
      <c r="N361" s="7"/>
      <c r="O361" s="7"/>
    </row>
    <row r="362" spans="1:15" ht="14.25">
      <c r="A362" s="7"/>
      <c r="B362" s="2"/>
      <c r="C362" s="7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4.25">
      <c r="A363" s="7"/>
      <c r="B363" s="2"/>
      <c r="C363" s="7"/>
      <c r="D363" s="3"/>
      <c r="E363" s="3"/>
      <c r="F363" s="3"/>
      <c r="G363" s="3"/>
      <c r="H363" s="7"/>
      <c r="I363" s="7"/>
      <c r="J363" s="7"/>
      <c r="K363" s="7"/>
      <c r="L363" s="7"/>
      <c r="M363" s="7"/>
      <c r="N363" s="7"/>
      <c r="O363" s="7"/>
    </row>
    <row r="364" spans="1:15" ht="15">
      <c r="A364" s="7"/>
      <c r="B364" s="2"/>
      <c r="C364" s="7"/>
      <c r="D364" s="88"/>
      <c r="E364" s="88"/>
      <c r="F364" s="88"/>
      <c r="G364" s="3"/>
      <c r="H364" s="7"/>
      <c r="I364" s="7"/>
      <c r="J364" s="7"/>
      <c r="K364" s="7"/>
      <c r="L364" s="7"/>
      <c r="M364" s="7"/>
      <c r="N364" s="7"/>
      <c r="O364" s="7"/>
    </row>
    <row r="365" spans="1:15" ht="14.25">
      <c r="A365" s="5"/>
      <c r="B365" s="1"/>
      <c r="C365" s="5"/>
      <c r="D365" s="5"/>
      <c r="E365" s="5"/>
      <c r="F365" s="5"/>
      <c r="G365" s="5"/>
      <c r="H365" s="7"/>
      <c r="I365" s="7"/>
      <c r="J365" s="7"/>
      <c r="K365" s="7"/>
      <c r="L365" s="7"/>
      <c r="M365" s="7"/>
      <c r="N365" s="7"/>
      <c r="O365" s="7"/>
    </row>
    <row r="366" spans="1:15" ht="14.25">
      <c r="A366" s="5"/>
      <c r="B366" s="1"/>
      <c r="C366" s="5"/>
      <c r="D366" s="5"/>
      <c r="E366" s="5"/>
      <c r="F366" s="5"/>
      <c r="G366" s="5"/>
      <c r="H366" s="7"/>
      <c r="I366" s="7"/>
      <c r="J366" s="7"/>
      <c r="K366" s="7"/>
      <c r="L366" s="7"/>
      <c r="M366" s="7"/>
      <c r="N366" s="7"/>
      <c r="O366" s="7"/>
    </row>
    <row r="367" spans="1:15" ht="14.25">
      <c r="A367" s="5"/>
      <c r="B367" s="1"/>
      <c r="C367" s="5"/>
      <c r="D367" s="5"/>
      <c r="E367" s="5"/>
      <c r="F367" s="5"/>
      <c r="G367" s="5"/>
      <c r="H367" s="7"/>
      <c r="I367" s="7"/>
      <c r="J367" s="7"/>
      <c r="K367" s="7"/>
      <c r="L367" s="7"/>
      <c r="M367" s="7"/>
      <c r="N367" s="7"/>
      <c r="O367" s="7"/>
    </row>
    <row r="368" spans="1:15" ht="14.25">
      <c r="A368" s="5"/>
      <c r="B368" s="1"/>
      <c r="C368" s="5"/>
      <c r="D368" s="5"/>
      <c r="E368" s="5"/>
      <c r="F368" s="5"/>
      <c r="G368" s="5"/>
      <c r="H368" s="7"/>
      <c r="I368" s="7"/>
      <c r="J368" s="7"/>
      <c r="K368" s="7"/>
      <c r="L368" s="7"/>
      <c r="M368" s="7"/>
      <c r="N368" s="7"/>
      <c r="O368" s="7"/>
    </row>
    <row r="369" spans="1:15" ht="14.25">
      <c r="A369" s="5"/>
      <c r="B369" s="1"/>
      <c r="C369" s="5"/>
      <c r="D369" s="5"/>
      <c r="E369" s="5"/>
      <c r="F369" s="5"/>
      <c r="G369" s="5"/>
      <c r="H369" s="7"/>
      <c r="I369" s="7"/>
      <c r="J369" s="7"/>
      <c r="K369" s="7"/>
      <c r="L369" s="7"/>
      <c r="M369" s="7"/>
      <c r="N369" s="7"/>
      <c r="O369" s="7"/>
    </row>
    <row r="370" spans="1:15" ht="14.25">
      <c r="A370" s="5"/>
      <c r="B370" s="1"/>
      <c r="C370" s="4"/>
      <c r="D370" s="89"/>
      <c r="E370" s="89"/>
      <c r="F370" s="89"/>
      <c r="G370" s="89"/>
      <c r="H370" s="3"/>
      <c r="I370" s="3"/>
      <c r="J370" s="3"/>
      <c r="K370" s="3"/>
      <c r="L370" s="3"/>
      <c r="M370" s="3"/>
      <c r="N370" s="3"/>
      <c r="O370" s="3"/>
    </row>
    <row r="371" spans="1:15" ht="14.25">
      <c r="A371" s="5"/>
      <c r="B371" s="1"/>
      <c r="C371" s="4"/>
      <c r="D371" s="89"/>
      <c r="E371" s="89"/>
      <c r="F371" s="89"/>
      <c r="G371" s="89"/>
      <c r="H371" s="3"/>
      <c r="I371" s="3"/>
      <c r="J371" s="3"/>
      <c r="K371" s="3"/>
      <c r="L371" s="3"/>
      <c r="M371" s="3"/>
      <c r="N371" s="3"/>
      <c r="O371" s="3"/>
    </row>
    <row r="372" spans="1:15" ht="14.25">
      <c r="A372" s="5"/>
      <c r="B372" s="1"/>
      <c r="C372" s="4"/>
      <c r="D372" s="89"/>
      <c r="E372" s="89"/>
      <c r="F372" s="89"/>
      <c r="G372" s="89"/>
      <c r="H372" s="3"/>
      <c r="I372" s="3"/>
      <c r="J372" s="3"/>
      <c r="K372" s="3"/>
      <c r="L372" s="3"/>
      <c r="M372" s="3"/>
      <c r="N372" s="3"/>
      <c r="O372" s="3"/>
    </row>
    <row r="373" spans="1:15" ht="14.25">
      <c r="A373" s="7"/>
      <c r="B373" s="2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4.25">
      <c r="A374" s="5"/>
      <c r="B374" s="1"/>
      <c r="C374" s="5"/>
      <c r="D374" s="5"/>
      <c r="E374" s="5"/>
      <c r="F374" s="5"/>
      <c r="G374" s="5"/>
      <c r="H374" s="7"/>
      <c r="I374" s="7"/>
      <c r="J374" s="7"/>
      <c r="K374" s="7"/>
      <c r="L374" s="7"/>
      <c r="M374" s="7"/>
      <c r="N374" s="7"/>
      <c r="O374" s="7"/>
    </row>
    <row r="375" spans="1:15" ht="14.25">
      <c r="A375" s="5"/>
      <c r="B375" s="1"/>
      <c r="C375" s="5"/>
      <c r="D375" s="5"/>
      <c r="E375" s="5"/>
      <c r="F375" s="5"/>
      <c r="G375" s="5"/>
      <c r="H375" s="7"/>
      <c r="I375" s="7"/>
      <c r="J375" s="7"/>
      <c r="K375" s="7"/>
      <c r="L375" s="7"/>
      <c r="M375" s="7"/>
      <c r="N375" s="7"/>
      <c r="O375" s="7"/>
    </row>
    <row r="376" spans="1:15" ht="14.25">
      <c r="A376" s="5"/>
      <c r="B376" s="1"/>
      <c r="C376" s="5"/>
      <c r="D376" s="5"/>
      <c r="E376" s="5"/>
      <c r="F376" s="5"/>
      <c r="G376" s="5"/>
      <c r="H376" s="7"/>
      <c r="I376" s="7"/>
      <c r="J376" s="7"/>
      <c r="K376" s="7"/>
      <c r="L376" s="7"/>
      <c r="M376" s="7"/>
      <c r="N376" s="7"/>
      <c r="O376" s="7"/>
    </row>
    <row r="377" spans="1:15" ht="14.25">
      <c r="A377" s="5"/>
      <c r="B377" s="1"/>
      <c r="C377" s="5"/>
      <c r="D377" s="5"/>
      <c r="E377" s="5"/>
      <c r="F377" s="5"/>
      <c r="G377" s="5"/>
      <c r="H377" s="7"/>
      <c r="I377" s="7"/>
      <c r="J377" s="7"/>
      <c r="K377" s="7"/>
      <c r="L377" s="7"/>
      <c r="M377" s="7"/>
      <c r="N377" s="7"/>
      <c r="O377" s="7"/>
    </row>
    <row r="378" spans="1:15" ht="14.25">
      <c r="A378" s="5"/>
      <c r="B378" s="1"/>
      <c r="C378" s="5"/>
      <c r="D378" s="5"/>
      <c r="E378" s="5"/>
      <c r="F378" s="5"/>
      <c r="G378" s="5"/>
      <c r="H378" s="7"/>
      <c r="I378" s="7"/>
      <c r="J378" s="7"/>
      <c r="K378" s="7"/>
      <c r="L378" s="7"/>
      <c r="M378" s="7"/>
      <c r="N378" s="7"/>
      <c r="O378" s="7"/>
    </row>
    <row r="379" spans="1:15" ht="14.25">
      <c r="A379" s="5"/>
      <c r="B379" s="1"/>
      <c r="C379" s="5"/>
      <c r="D379" s="5"/>
      <c r="E379" s="5"/>
      <c r="F379" s="5"/>
      <c r="G379" s="5"/>
      <c r="H379" s="7"/>
      <c r="I379" s="7"/>
      <c r="J379" s="7"/>
      <c r="K379" s="7"/>
      <c r="L379" s="7"/>
      <c r="M379" s="7"/>
      <c r="N379" s="7"/>
      <c r="O379" s="7"/>
    </row>
    <row r="380" spans="1:15" ht="14.25">
      <c r="A380" s="5"/>
      <c r="B380" s="1"/>
      <c r="C380" s="4"/>
      <c r="D380" s="5"/>
      <c r="E380" s="5"/>
      <c r="F380" s="5"/>
      <c r="G380" s="5"/>
      <c r="H380" s="7"/>
      <c r="I380" s="7"/>
      <c r="J380" s="7"/>
      <c r="K380" s="7"/>
      <c r="L380" s="7"/>
      <c r="M380" s="7"/>
      <c r="N380" s="7"/>
      <c r="O380" s="7"/>
    </row>
    <row r="381" spans="1:15" ht="14.25">
      <c r="A381" s="7"/>
      <c r="B381" s="2"/>
      <c r="C381" s="5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4.25">
      <c r="A382" s="7"/>
      <c r="B382" s="2"/>
      <c r="C382" s="5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4.25">
      <c r="A383" s="7"/>
      <c r="B383" s="2"/>
      <c r="C383" s="5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4.25">
      <c r="A384" s="7"/>
      <c r="B384" s="2"/>
      <c r="C384" s="5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</sheetData>
  <sheetProtection/>
  <mergeCells count="78">
    <mergeCell ref="A327:O327"/>
    <mergeCell ref="A52:O52"/>
    <mergeCell ref="A121:O121"/>
    <mergeCell ref="A187:O187"/>
    <mergeCell ref="A294:O294"/>
    <mergeCell ref="A133:O133"/>
    <mergeCell ref="A166:O166"/>
    <mergeCell ref="A199:O199"/>
    <mergeCell ref="A236:O236"/>
    <mergeCell ref="A272:O272"/>
    <mergeCell ref="A305:O305"/>
    <mergeCell ref="A143:O143"/>
    <mergeCell ref="D145:F145"/>
    <mergeCell ref="L145:O145"/>
    <mergeCell ref="D149:E149"/>
    <mergeCell ref="A1:F1"/>
    <mergeCell ref="G1:O1"/>
    <mergeCell ref="A2:O2"/>
    <mergeCell ref="D4:F4"/>
    <mergeCell ref="H4:K4"/>
    <mergeCell ref="L4:O4"/>
    <mergeCell ref="D9:E9"/>
    <mergeCell ref="A10:B10"/>
    <mergeCell ref="A39:O39"/>
    <mergeCell ref="D41:F41"/>
    <mergeCell ref="H41:K41"/>
    <mergeCell ref="L41:O41"/>
    <mergeCell ref="A28:O28"/>
    <mergeCell ref="A16:O16"/>
    <mergeCell ref="D45:E45"/>
    <mergeCell ref="A46:B46"/>
    <mergeCell ref="B75:P75"/>
    <mergeCell ref="D77:F77"/>
    <mergeCell ref="L77:O77"/>
    <mergeCell ref="D81:E81"/>
    <mergeCell ref="A64:O64"/>
    <mergeCell ref="A82:B82"/>
    <mergeCell ref="A109:O109"/>
    <mergeCell ref="D111:F111"/>
    <mergeCell ref="L111:O111"/>
    <mergeCell ref="D115:E115"/>
    <mergeCell ref="A116:B116"/>
    <mergeCell ref="A99:O99"/>
    <mergeCell ref="A88:O88"/>
    <mergeCell ref="A150:B150"/>
    <mergeCell ref="A174:O174"/>
    <mergeCell ref="D176:F176"/>
    <mergeCell ref="L176:O176"/>
    <mergeCell ref="D180:E180"/>
    <mergeCell ref="A181:B181"/>
    <mergeCell ref="A155:O155"/>
    <mergeCell ref="A212:O212"/>
    <mergeCell ref="D214:F214"/>
    <mergeCell ref="L214:O214"/>
    <mergeCell ref="D219:E219"/>
    <mergeCell ref="A220:B220"/>
    <mergeCell ref="A248:O248"/>
    <mergeCell ref="A225:O225"/>
    <mergeCell ref="D320:E320"/>
    <mergeCell ref="D250:F250"/>
    <mergeCell ref="L250:O250"/>
    <mergeCell ref="D254:E254"/>
    <mergeCell ref="A255:B255"/>
    <mergeCell ref="A281:O281"/>
    <mergeCell ref="D283:F283"/>
    <mergeCell ref="H283:K283"/>
    <mergeCell ref="L283:O283"/>
    <mergeCell ref="A260:O260"/>
    <mergeCell ref="A338:O338"/>
    <mergeCell ref="D288:E288"/>
    <mergeCell ref="A355:B355"/>
    <mergeCell ref="A354:B354"/>
    <mergeCell ref="A321:B321"/>
    <mergeCell ref="A289:B289"/>
    <mergeCell ref="A314:O314"/>
    <mergeCell ref="D316:F316"/>
    <mergeCell ref="H316:K316"/>
    <mergeCell ref="L316:O316"/>
  </mergeCells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RONO01</cp:lastModifiedBy>
  <cp:lastPrinted>2021-06-03T11:36:07Z</cp:lastPrinted>
  <dcterms:created xsi:type="dcterms:W3CDTF">2014-11-19T14:12:38Z</dcterms:created>
  <dcterms:modified xsi:type="dcterms:W3CDTF">2021-08-25T13:33:58Z</dcterms:modified>
  <cp:category/>
  <cp:version/>
  <cp:contentType/>
  <cp:contentStatus/>
</cp:coreProperties>
</file>